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sarriera\Desktop\Port Covington\"/>
    </mc:Choice>
  </mc:AlternateContent>
  <bookViews>
    <workbookView xWindow="0" yWindow="0" windowWidth="12585" windowHeight="8040" tabRatio="800" activeTab="24"/>
  </bookViews>
  <sheets>
    <sheet name="About the Spreadsheet Tabs" sheetId="31" r:id="rId1"/>
    <sheet name="Benefit-Cost Analysis @3%" sheetId="1" r:id="rId2"/>
    <sheet name="Benefit-Cost Analysis @7%" sheetId="29" r:id="rId3"/>
    <sheet name="BenefitSummary" sheetId="52" r:id="rId4"/>
    <sheet name="Costs Summary " sheetId="63" r:id="rId5"/>
    <sheet name="O&amp;M" sheetId="85" r:id="rId6"/>
    <sheet name="TravelTimeSavings" sheetId="54" r:id="rId7"/>
    <sheet name="VOC" sheetId="75" r:id="rId8"/>
    <sheet name="Emissions" sheetId="76" r:id="rId9"/>
    <sheet name="HealthBenefits" sheetId="80" r:id="rId10"/>
    <sheet name="ModeShift" sheetId="83" r:id="rId11"/>
    <sheet name="TrackRelocation" sheetId="79" r:id="rId12"/>
    <sheet name="JobCreation" sheetId="28" r:id="rId13"/>
    <sheet name="Rates - Single" sheetId="2" r:id="rId14"/>
    <sheet name="KABCO-AIS Conv Matrix" sheetId="47" r:id="rId15"/>
    <sheet name="VOC " sheetId="49" r:id="rId16"/>
    <sheet name="WalkMode" sheetId="82" r:id="rId17"/>
    <sheet name="EmissRates(EPA)" sheetId="44" r:id="rId18"/>
    <sheet name="AVO" sheetId="73" r:id="rId19"/>
    <sheet name="EmissRates MOVES2014" sheetId="58" r:id="rId20"/>
    <sheet name="Pavement,NoiseMarginalCost" sheetId="88" r:id="rId21"/>
    <sheet name="Rail Relocation" sheetId="86" r:id="rId22"/>
    <sheet name="CPI Factors" sheetId="36" r:id="rId23"/>
    <sheet name="Volumes (Project Site)" sheetId="81" r:id="rId24"/>
    <sheet name="TDM Output" sheetId="87" r:id="rId25"/>
    <sheet name="TDM Summary" sheetId="67" r:id="rId26"/>
    <sheet name="TravelTimeCost-NotUsed" sheetId="41" state="hidden" r:id="rId27"/>
  </sheets>
  <externalReferences>
    <externalReference r:id="rId28"/>
    <externalReference r:id="rId29"/>
    <externalReference r:id="rId30"/>
    <externalReference r:id="rId31"/>
    <externalReference r:id="rId32"/>
    <externalReference r:id="rId33"/>
    <externalReference r:id="rId34"/>
    <externalReference r:id="rId35"/>
  </externalReferences>
  <definedNames>
    <definedName name="_GoBack" localSheetId="15">'VOC '!#REF!</definedName>
    <definedName name="_Regression_Out" localSheetId="4" hidden="1">#REF!</definedName>
    <definedName name="_Regression_Out" localSheetId="9" hidden="1">#REF!</definedName>
    <definedName name="_Regression_Out" localSheetId="11" hidden="1">#REF!</definedName>
    <definedName name="_Regression_Out" localSheetId="6" hidden="1">#REF!</definedName>
    <definedName name="_Regression_Out" localSheetId="7" hidden="1">#REF!</definedName>
    <definedName name="_Regression_Out" hidden="1">#REF!</definedName>
    <definedName name="_Regression_X" localSheetId="4" hidden="1">#REF!</definedName>
    <definedName name="_Regression_X" localSheetId="9" hidden="1">#REF!</definedName>
    <definedName name="_Regression_X" localSheetId="11" hidden="1">#REF!</definedName>
    <definedName name="_Regression_X" localSheetId="6" hidden="1">#REF!</definedName>
    <definedName name="_Regression_X" localSheetId="7" hidden="1">#REF!</definedName>
    <definedName name="_Regression_X" hidden="1">#REF!</definedName>
    <definedName name="a" localSheetId="9">#REF!</definedName>
    <definedName name="a" localSheetId="11">#REF!</definedName>
    <definedName name="a" localSheetId="7">#REF!</definedName>
    <definedName name="a">#REF!</definedName>
    <definedName name="Accidents">'[1]3) Results'!$M$34</definedName>
    <definedName name="AccReduceFac">'[1]2) Model Inputs'!$T$12</definedName>
    <definedName name="AccStAvgB">'[1]1) Project Information'!$Q$19</definedName>
    <definedName name="AccStAvgNB">'[1]1) Project Information'!$P$19</definedName>
    <definedName name="ADT0">'[1]1) Project Information'!$G$36</definedName>
    <definedName name="ADT1B">'[1]1) Project Information'!$H$38</definedName>
    <definedName name="ADT1NB">'[1]1) Project Information'!$G$38</definedName>
    <definedName name="ADT20B">'[1]1) Project Information'!$H$39</definedName>
    <definedName name="ADT20NB">'[1]1) Project Information'!$G$39</definedName>
    <definedName name="AM" localSheetId="4">'[2]EmissRates(Cal-B C)'!#REF!</definedName>
    <definedName name="AM" localSheetId="9">#REF!</definedName>
    <definedName name="AM" localSheetId="11">#REF!</definedName>
    <definedName name="AM" localSheetId="6">#REF!</definedName>
    <definedName name="AM" localSheetId="7">#REF!</definedName>
    <definedName name="AM">#REF!</definedName>
    <definedName name="AnnualFactor" localSheetId="4">'[2]EmissRates(Cal-B C)'!#REF!</definedName>
    <definedName name="AnnualFactor" localSheetId="9">#REF!</definedName>
    <definedName name="AnnualFactor" localSheetId="11">#REF!</definedName>
    <definedName name="AnnualFactor" localSheetId="6">#REF!</definedName>
    <definedName name="AnnualFactor" localSheetId="7">#REF!</definedName>
    <definedName name="AnnualFactor">#REF!</definedName>
    <definedName name="AREASIZE">[3]Inputs!$I$29</definedName>
    <definedName name="AREASIZETBL">[3]Defaults!$AS$211:$AT$213</definedName>
    <definedName name="ArrRate1">'[1]1) Project Information'!$G$51</definedName>
    <definedName name="ArrRate20">'[1]1) Project Information'!$H$51</definedName>
    <definedName name="ASM" localSheetId="4">'[2]EmissRates(Cal-B C)'!#REF!</definedName>
    <definedName name="ASM" localSheetId="9">#REF!</definedName>
    <definedName name="ASM" localSheetId="11">#REF!</definedName>
    <definedName name="ASM" localSheetId="6">#REF!</definedName>
    <definedName name="ASM" localSheetId="7">#REF!</definedName>
    <definedName name="ASM">#REF!</definedName>
    <definedName name="AuxLane" localSheetId="4">'[2]EmissRates(Cal-B C)'!#REF!</definedName>
    <definedName name="AuxLane" localSheetId="9">#REF!</definedName>
    <definedName name="AuxLane" localSheetId="11">#REF!</definedName>
    <definedName name="AuxLane" localSheetId="6">#REF!</definedName>
    <definedName name="AuxLane" localSheetId="7">#REF!</definedName>
    <definedName name="AuxLane">#REF!</definedName>
    <definedName name="AvgAccCost" localSheetId="4">'[2]EmissRates(Cal-B C)'!#REF!</definedName>
    <definedName name="AvgAccCost" localSheetId="9">#REF!</definedName>
    <definedName name="AvgAccCost" localSheetId="11">#REF!</definedName>
    <definedName name="AvgAccCost" localSheetId="6">#REF!</definedName>
    <definedName name="AvgAccCost" localSheetId="7">#REF!</definedName>
    <definedName name="AvgAccCost">#REF!</definedName>
    <definedName name="AvgAccCostA" localSheetId="4">'[2]EmissRates(Cal-B C)'!#REF!</definedName>
    <definedName name="AvgAccCostA" localSheetId="9">#REF!</definedName>
    <definedName name="AvgAccCostA" localSheetId="11">#REF!</definedName>
    <definedName name="AvgAccCostA" localSheetId="6">#REF!</definedName>
    <definedName name="AvgAccCostA" localSheetId="7">#REF!</definedName>
    <definedName name="AvgAccCostA">#REF!</definedName>
    <definedName name="AvgAccCostR" localSheetId="4">'[2]EmissRates(Cal-B C)'!#REF!</definedName>
    <definedName name="AvgAccCostR" localSheetId="9">#REF!</definedName>
    <definedName name="AvgAccCostR" localSheetId="11">#REF!</definedName>
    <definedName name="AvgAccCostR" localSheetId="6">#REF!</definedName>
    <definedName name="AvgAccCostR" localSheetId="7">#REF!</definedName>
    <definedName name="AvgAccCostR">#REF!</definedName>
    <definedName name="AvgAccCostS" localSheetId="4">'[2]EmissRates(Cal-B C)'!#REF!</definedName>
    <definedName name="AvgAccCostS" localSheetId="9">#REF!</definedName>
    <definedName name="AvgAccCostS" localSheetId="11">#REF!</definedName>
    <definedName name="AvgAccCostS" localSheetId="6">#REF!</definedName>
    <definedName name="AvgAccCostS" localSheetId="7">#REF!</definedName>
    <definedName name="AvgAccCostS">#REF!</definedName>
    <definedName name="AvgAccCostU" localSheetId="4">'[2]EmissRates(Cal-B C)'!#REF!</definedName>
    <definedName name="AvgAccCostU" localSheetId="9">#REF!</definedName>
    <definedName name="AvgAccCostU" localSheetId="11">#REF!</definedName>
    <definedName name="AvgAccCostU" localSheetId="6">#REF!</definedName>
    <definedName name="AvgAccCostU" localSheetId="7">#REF!</definedName>
    <definedName name="AvgAccCostU">#REF!</definedName>
    <definedName name="AVL" localSheetId="4">'[2]EmissRates(Cal-B C)'!#REF!</definedName>
    <definedName name="AVL" localSheetId="9">#REF!</definedName>
    <definedName name="AVL" localSheetId="11">#REF!</definedName>
    <definedName name="AVL" localSheetId="6">#REF!</definedName>
    <definedName name="AVL" localSheetId="7">#REF!</definedName>
    <definedName name="AVL">#REF!</definedName>
    <definedName name="AVLCapSaving" localSheetId="4">'[2]EmissRates(Cal-B C)'!#REF!</definedName>
    <definedName name="AVLCapSaving" localSheetId="9">#REF!</definedName>
    <definedName name="AVLCapSaving" localSheetId="11">#REF!</definedName>
    <definedName name="AVLCapSaving" localSheetId="6">#REF!</definedName>
    <definedName name="AVLCapSaving" localSheetId="7">#REF!</definedName>
    <definedName name="AVLCapSaving">#REF!</definedName>
    <definedName name="AvlOMsaving" localSheetId="4">'[2]EmissRates(Cal-B C)'!#REF!</definedName>
    <definedName name="AvlOMsaving" localSheetId="9">#REF!</definedName>
    <definedName name="AvlOMsaving" localSheetId="11">#REF!</definedName>
    <definedName name="AvlOMsaving" localSheetId="6">#REF!</definedName>
    <definedName name="AvlOMsaving" localSheetId="7">#REF!</definedName>
    <definedName name="AvlOMsaving">#REF!</definedName>
    <definedName name="AVLTTsaving" localSheetId="4">'[2]EmissRates(Cal-B C)'!#REF!</definedName>
    <definedName name="AVLTTsaving" localSheetId="9">#REF!</definedName>
    <definedName name="AVLTTsaving" localSheetId="11">#REF!</definedName>
    <definedName name="AVLTTsaving" localSheetId="6">#REF!</definedName>
    <definedName name="AVLTTsaving" localSheetId="7">#REF!</definedName>
    <definedName name="AVLTTsaving">#REF!</definedName>
    <definedName name="AVOHovB">'[1]1) Project Information'!$H$61</definedName>
    <definedName name="AVOHovNB">'[1]1) Project Information'!$G$61</definedName>
    <definedName name="AVONonB">'[1]1) Project Information'!$H$59</definedName>
    <definedName name="AVONonNB">'[1]1) Project Information'!$G$59</definedName>
    <definedName name="AVOPeakB">'[1]1) Project Information'!$H$60</definedName>
    <definedName name="AVOPeakNB">'[1]1) Project Information'!$G$60</definedName>
    <definedName name="bb" localSheetId="3">#REF!</definedName>
    <definedName name="bb" localSheetId="4">#REF!</definedName>
    <definedName name="bb" localSheetId="9">#REF!</definedName>
    <definedName name="bb" localSheetId="11">#REF!</definedName>
    <definedName name="bb" localSheetId="6">#REF!</definedName>
    <definedName name="bb" localSheetId="7">#REF!</definedName>
    <definedName name="bb" localSheetId="15">#REF!</definedName>
    <definedName name="bb">#REF!</definedName>
    <definedName name="bnb" localSheetId="3">#REF!</definedName>
    <definedName name="bnb" localSheetId="4">#REF!</definedName>
    <definedName name="bnb" localSheetId="9">#REF!</definedName>
    <definedName name="bnb" localSheetId="11">#REF!</definedName>
    <definedName name="bnb" localSheetId="6">#REF!</definedName>
    <definedName name="bnb" localSheetId="7">#REF!</definedName>
    <definedName name="bnb" localSheetId="15">#REF!</definedName>
    <definedName name="bnb">#REF!</definedName>
    <definedName name="BRT" localSheetId="4">'[2]EmissRates(Cal-B C)'!#REF!</definedName>
    <definedName name="BRT" localSheetId="9">#REF!</definedName>
    <definedName name="BRT" localSheetId="11">#REF!</definedName>
    <definedName name="BRT" localSheetId="6">#REF!</definedName>
    <definedName name="BRT" localSheetId="7">#REF!</definedName>
    <definedName name="BRT">#REF!</definedName>
    <definedName name="BrtTTsaving" localSheetId="4">'[2]EmissRates(Cal-B C)'!#REF!</definedName>
    <definedName name="BrtTTsaving" localSheetId="9">#REF!</definedName>
    <definedName name="BrtTTsaving" localSheetId="11">#REF!</definedName>
    <definedName name="BrtTTsaving" localSheetId="6">#REF!</definedName>
    <definedName name="BrtTTsaving" localSheetId="7">#REF!</definedName>
    <definedName name="BrtTTsaving">#REF!</definedName>
    <definedName name="Bus" localSheetId="4">'[2]EmissRates(Cal-B C)'!#REF!</definedName>
    <definedName name="Bus" localSheetId="9">#REF!</definedName>
    <definedName name="Bus" localSheetId="11">#REF!</definedName>
    <definedName name="Bus" localSheetId="6">#REF!</definedName>
    <definedName name="Bus" localSheetId="7">#REF!</definedName>
    <definedName name="Bus">#REF!</definedName>
    <definedName name="BusAccCost" localSheetId="4">'[2]EmissRates(Cal-B C)'!#REF!</definedName>
    <definedName name="BusAccCost" localSheetId="9">#REF!</definedName>
    <definedName name="BusAccCost" localSheetId="11">#REF!</definedName>
    <definedName name="BusAccCost" localSheetId="6">#REF!</definedName>
    <definedName name="BusAccCost" localSheetId="7">#REF!</definedName>
    <definedName name="BusAccCost">#REF!</definedName>
    <definedName name="BVMT">[3]TravCalcs!$S$49</definedName>
    <definedName name="BVMTOP">[3]TravCalcs!$S$56</definedName>
    <definedName name="BVMTPP">[3]TravCalcs!$S$55</definedName>
    <definedName name="Bypass" localSheetId="4">'[2]EmissRates(Cal-B C)'!#REF!</definedName>
    <definedName name="Bypass" localSheetId="9">#REF!</definedName>
    <definedName name="Bypass" localSheetId="11">#REF!</definedName>
    <definedName name="Bypass" localSheetId="6">#REF!</definedName>
    <definedName name="Bypass" localSheetId="7">#REF!</definedName>
    <definedName name="Bypass">#REF!</definedName>
    <definedName name="Capacity2">[4]OtherVariables!$I$12:$N$20</definedName>
    <definedName name="CO2Uprater" localSheetId="4">'[2]EmissRates(Cal-B C)'!#REF!</definedName>
    <definedName name="CO2Uprater" localSheetId="9">#REF!</definedName>
    <definedName name="CO2Uprater" localSheetId="11">#REF!</definedName>
    <definedName name="CO2Uprater" localSheetId="6">#REF!</definedName>
    <definedName name="CO2Uprater" localSheetId="7">#REF!</definedName>
    <definedName name="CO2Uprater">#REF!</definedName>
    <definedName name="Construct">'[1]1) Project Information'!$F$14</definedName>
    <definedName name="_xlnm.Database" localSheetId="3">#REF!</definedName>
    <definedName name="_xlnm.Database" localSheetId="4">#REF!</definedName>
    <definedName name="_xlnm.Database" localSheetId="19">#REF!</definedName>
    <definedName name="_xlnm.Database" localSheetId="9">#REF!</definedName>
    <definedName name="_xlnm.Database" localSheetId="11">#REF!</definedName>
    <definedName name="_xlnm.Database" localSheetId="6">#REF!</definedName>
    <definedName name="_xlnm.Database" localSheetId="7">#REF!</definedName>
    <definedName name="_xlnm.Database" localSheetId="15">#REF!</definedName>
    <definedName name="_xlnm.Database">#REF!</definedName>
    <definedName name="dblStack">'[5]Tunnel Capacity'!$C$6</definedName>
    <definedName name="DEFTELE">[3]Defaults!$K$95</definedName>
    <definedName name="DepRate1">'[1]1) Project Information'!$G$52</definedName>
    <definedName name="DepRate20">'[1]1) Project Information'!$H$52</definedName>
    <definedName name="DepRateConv" localSheetId="4">'[2]EmissRates(Cal-B C)'!#REF!</definedName>
    <definedName name="DepRateConv" localSheetId="9">#REF!</definedName>
    <definedName name="DepRateConv" localSheetId="11">#REF!</definedName>
    <definedName name="DepRateConv" localSheetId="6">#REF!</definedName>
    <definedName name="DepRateConv" localSheetId="7">#REF!</definedName>
    <definedName name="DepRateConv">#REF!</definedName>
    <definedName name="DepRateExp" localSheetId="4">'[2]EmissRates(Cal-B C)'!#REF!</definedName>
    <definedName name="DepRateExp" localSheetId="9">#REF!</definedName>
    <definedName name="DepRateExp" localSheetId="11">#REF!</definedName>
    <definedName name="DepRateExp" localSheetId="6">#REF!</definedName>
    <definedName name="DepRateExp" localSheetId="7">#REF!</definedName>
    <definedName name="DepRateExp">#REF!</definedName>
    <definedName name="DepRateFwy" localSheetId="4">'[2]EmissRates(Cal-B C)'!#REF!</definedName>
    <definedName name="DepRateFwy" localSheetId="9">#REF!</definedName>
    <definedName name="DepRateFwy" localSheetId="11">#REF!</definedName>
    <definedName name="DepRateFwy" localSheetId="6">#REF!</definedName>
    <definedName name="DepRateFwy" localSheetId="7">#REF!</definedName>
    <definedName name="DepRateFwy">#REF!</definedName>
    <definedName name="DiscRate" localSheetId="4">'[2]EmissRates(Cal-B C)'!#REF!</definedName>
    <definedName name="DiscRate" localSheetId="9">#REF!</definedName>
    <definedName name="DiscRate" localSheetId="11">#REF!</definedName>
    <definedName name="DiscRate" localSheetId="6">#REF!</definedName>
    <definedName name="DiscRate" localSheetId="7">#REF!</definedName>
    <definedName name="DiscRate">#REF!</definedName>
    <definedName name="domstackRate">'[5]Tunnel Capacity'!$C$4</definedName>
    <definedName name="DTRIP">[3]TravCalcs!$P$49</definedName>
    <definedName name="DTRIPOP">[3]TravCalcs!$P$56</definedName>
    <definedName name="DTRIPPP">[3]TravCalcs!$P$55</definedName>
    <definedName name="DVMT">[3]TravCalcs!$U$49</definedName>
    <definedName name="DVMTOP">[3]TravCalcs!$U$56</definedName>
    <definedName name="DVMTPP">[3]TravCalcs!$U$55</definedName>
    <definedName name="EmAuto1" localSheetId="9">#REF!</definedName>
    <definedName name="EmAuto1" localSheetId="11">#REF!</definedName>
    <definedName name="EmAuto1" localSheetId="7">#REF!</definedName>
    <definedName name="EmAuto1">#REF!</definedName>
    <definedName name="EmAuto20" localSheetId="9">#REF!</definedName>
    <definedName name="EmAuto20" localSheetId="11">#REF!</definedName>
    <definedName name="EmAuto20" localSheetId="7">#REF!</definedName>
    <definedName name="EmAuto20">#REF!</definedName>
    <definedName name="EmBus1" localSheetId="9">#REF!</definedName>
    <definedName name="EmBus1" localSheetId="11">#REF!</definedName>
    <definedName name="EmBus1" localSheetId="7">#REF!</definedName>
    <definedName name="EmBus1">#REF!</definedName>
    <definedName name="EmBus20" localSheetId="9">#REF!</definedName>
    <definedName name="EmBus20" localSheetId="11">#REF!</definedName>
    <definedName name="EmBus20" localSheetId="7">#REF!</definedName>
    <definedName name="EmBus20">#REF!</definedName>
    <definedName name="EmCost" localSheetId="4">'[2]EmissRates(Cal-B C)'!#REF!</definedName>
    <definedName name="EmCost" localSheetId="9">#REF!</definedName>
    <definedName name="EmCost" localSheetId="11">#REF!</definedName>
    <definedName name="EmCost" localSheetId="6">#REF!</definedName>
    <definedName name="EmCost" localSheetId="7">#REF!</definedName>
    <definedName name="EmCost">#REF!</definedName>
    <definedName name="Emissions">'[1]3) Results'!$M$36</definedName>
    <definedName name="EmLRT" localSheetId="4">'[2]EmissRates(Cal-B C)'!#REF!</definedName>
    <definedName name="EmLRT" localSheetId="9">#REF!</definedName>
    <definedName name="EmLRT" localSheetId="11">#REF!</definedName>
    <definedName name="EmLRT" localSheetId="6">#REF!</definedName>
    <definedName name="EmLRT" localSheetId="7">#REF!</definedName>
    <definedName name="EmLRT">#REF!</definedName>
    <definedName name="EmPassTrain" localSheetId="4">'[2]EmissRates(Cal-B C)'!#REF!</definedName>
    <definedName name="EmPassTrain" localSheetId="9">#REF!</definedName>
    <definedName name="EmPassTrain" localSheetId="11">#REF!</definedName>
    <definedName name="EmPassTrain" localSheetId="6">#REF!</definedName>
    <definedName name="EmPassTrain" localSheetId="7">#REF!</definedName>
    <definedName name="EmPassTrain">#REF!</definedName>
    <definedName name="EMPTOT">[3]Inputs!$I$43</definedName>
    <definedName name="EmTruck1" localSheetId="9">#REF!</definedName>
    <definedName name="EmTruck1" localSheetId="11">#REF!</definedName>
    <definedName name="EmTruck1" localSheetId="7">#REF!</definedName>
    <definedName name="EmTruck1">#REF!</definedName>
    <definedName name="EmTruck20" localSheetId="9">#REF!</definedName>
    <definedName name="EmTruck20" localSheetId="11">#REF!</definedName>
    <definedName name="EmTruck20" localSheetId="7">#REF!</definedName>
    <definedName name="EmTruck20">#REF!</definedName>
    <definedName name="ExciseTaxDieselFed" localSheetId="4">'[2]EmissRates(Cal-B C)'!#REF!</definedName>
    <definedName name="ExciseTaxDieselFed" localSheetId="9">#REF!</definedName>
    <definedName name="ExciseTaxDieselFed" localSheetId="11">#REF!</definedName>
    <definedName name="ExciseTaxDieselFed" localSheetId="6">#REF!</definedName>
    <definedName name="ExciseTaxDieselFed" localSheetId="7">#REF!</definedName>
    <definedName name="ExciseTaxDieselFed">#REF!</definedName>
    <definedName name="ExciseTaxDieselState" localSheetId="4">'[2]EmissRates(Cal-B C)'!#REF!</definedName>
    <definedName name="ExciseTaxDieselState" localSheetId="9">#REF!</definedName>
    <definedName name="ExciseTaxDieselState" localSheetId="11">#REF!</definedName>
    <definedName name="ExciseTaxDieselState" localSheetId="6">#REF!</definedName>
    <definedName name="ExciseTaxDieselState" localSheetId="7">#REF!</definedName>
    <definedName name="ExciseTaxDieselState">#REF!</definedName>
    <definedName name="ExciseTaxGasFed" localSheetId="4">'[2]EmissRates(Cal-B C)'!#REF!</definedName>
    <definedName name="ExciseTaxGasFed" localSheetId="9">#REF!</definedName>
    <definedName name="ExciseTaxGasFed" localSheetId="11">#REF!</definedName>
    <definedName name="ExciseTaxGasFed" localSheetId="6">#REF!</definedName>
    <definedName name="ExciseTaxGasFed" localSheetId="7">#REF!</definedName>
    <definedName name="ExciseTaxGasFed">#REF!</definedName>
    <definedName name="ExciseTaxGasState" localSheetId="4">'[2]EmissRates(Cal-B C)'!#REF!</definedName>
    <definedName name="ExciseTaxGasState" localSheetId="9">#REF!</definedName>
    <definedName name="ExciseTaxGasState" localSheetId="11">#REF!</definedName>
    <definedName name="ExciseTaxGasState" localSheetId="6">#REF!</definedName>
    <definedName name="ExciseTaxGasState" localSheetId="7">#REF!</definedName>
    <definedName name="ExciseTaxGasState">#REF!</definedName>
    <definedName name="Exclusive">'[1]1) Project Information'!$G$28</definedName>
    <definedName name="Farebox" localSheetId="9">#REF!</definedName>
    <definedName name="Farebox" localSheetId="11">#REF!</definedName>
    <definedName name="Farebox" localSheetId="7">#REF!</definedName>
    <definedName name="Farebox">#REF!</definedName>
    <definedName name="Fat3Yr">'[1]1) Project Information'!$Q$12</definedName>
    <definedName name="FatalRateB">'[1]2) Model Inputs'!$U$20</definedName>
    <definedName name="FatalRateNB">'[1]2) Model Inputs'!$U$7</definedName>
    <definedName name="FatValue" localSheetId="4">'[2]EmissRates(Cal-B C)'!#REF!</definedName>
    <definedName name="FatValue" localSheetId="9">#REF!</definedName>
    <definedName name="FatValue" localSheetId="11">#REF!</definedName>
    <definedName name="FatValue" localSheetId="6">#REF!</definedName>
    <definedName name="FatValue" localSheetId="7">#REF!</definedName>
    <definedName name="FatValue">#REF!</definedName>
    <definedName name="fb" localSheetId="3">#REF!</definedName>
    <definedName name="fb" localSheetId="4">#REF!</definedName>
    <definedName name="fb" localSheetId="9">#REF!</definedName>
    <definedName name="fb" localSheetId="11">#REF!</definedName>
    <definedName name="fb" localSheetId="6">#REF!</definedName>
    <definedName name="fb" localSheetId="7">#REF!</definedName>
    <definedName name="fb" localSheetId="15">#REF!</definedName>
    <definedName name="fb">#REF!</definedName>
    <definedName name="FFSpeedB">'[1]1) Project Information'!$H$30</definedName>
    <definedName name="FFSpeedNB">'[1]1) Project Information'!$G$30</definedName>
    <definedName name="FILENAME">[3]Inputs!$I$20</definedName>
    <definedName name="fnb" localSheetId="3">#REF!</definedName>
    <definedName name="fnb" localSheetId="4">#REF!</definedName>
    <definedName name="fnb" localSheetId="9">#REF!</definedName>
    <definedName name="fnb" localSheetId="11">#REF!</definedName>
    <definedName name="fnb" localSheetId="6">#REF!</definedName>
    <definedName name="fnb" localSheetId="7">#REF!</definedName>
    <definedName name="fnb" localSheetId="15">#REF!</definedName>
    <definedName name="fnb">#REF!</definedName>
    <definedName name="FreeConn" localSheetId="4">'[2]EmissRates(Cal-B C)'!#REF!</definedName>
    <definedName name="FreeConn" localSheetId="9">#REF!</definedName>
    <definedName name="FreeConn" localSheetId="11">#REF!</definedName>
    <definedName name="FreeConn" localSheetId="6">#REF!</definedName>
    <definedName name="FreeConn" localSheetId="7">#REF!</definedName>
    <definedName name="FreeConn">#REF!</definedName>
    <definedName name="FringeTruck" localSheetId="4">'[2]EmissRates(Cal-B C)'!#REF!</definedName>
    <definedName name="FringeTruck" localSheetId="9">#REF!</definedName>
    <definedName name="FringeTruck" localSheetId="11">#REF!</definedName>
    <definedName name="FringeTruck" localSheetId="6">#REF!</definedName>
    <definedName name="FringeTruck" localSheetId="7">#REF!</definedName>
    <definedName name="FringeTruck">#REF!</definedName>
    <definedName name="FuelAuto" localSheetId="4">'[2]EmissRates(Cal-B C)'!#REF!</definedName>
    <definedName name="FuelAuto" localSheetId="9">#REF!</definedName>
    <definedName name="FuelAuto" localSheetId="11">#REF!</definedName>
    <definedName name="FuelAuto" localSheetId="6">#REF!</definedName>
    <definedName name="FuelAuto" localSheetId="7">#REF!</definedName>
    <definedName name="FuelAuto">#REF!</definedName>
    <definedName name="FuelCon" localSheetId="4">'[2]EmissRates(Cal-B C)'!#REF!</definedName>
    <definedName name="FuelCon" localSheetId="9">#REF!</definedName>
    <definedName name="FuelCon" localSheetId="11">#REF!</definedName>
    <definedName name="FuelCon" localSheetId="6">#REF!</definedName>
    <definedName name="FuelCon" localSheetId="7">#REF!</definedName>
    <definedName name="FuelCon">#REF!</definedName>
    <definedName name="FuelConPavAdj" localSheetId="4">'[2]EmissRates(Cal-B C)'!#REF!</definedName>
    <definedName name="FuelConPavAdj" localSheetId="9">#REF!</definedName>
    <definedName name="FuelConPavAdj" localSheetId="11">#REF!</definedName>
    <definedName name="FuelConPavAdj" localSheetId="6">#REF!</definedName>
    <definedName name="FuelConPavAdj" localSheetId="7">#REF!</definedName>
    <definedName name="FuelConPavAdj">#REF!</definedName>
    <definedName name="FuelPriceAuto" localSheetId="4">'[2]EmissRates(Cal-B C)'!#REF!</definedName>
    <definedName name="FuelPriceAuto" localSheetId="9">#REF!</definedName>
    <definedName name="FuelPriceAuto" localSheetId="11">#REF!</definedName>
    <definedName name="FuelPriceAuto" localSheetId="6">#REF!</definedName>
    <definedName name="FuelPriceAuto" localSheetId="7">#REF!</definedName>
    <definedName name="FuelPriceAuto">#REF!</definedName>
    <definedName name="FuelPriceTruck" localSheetId="4">'[2]EmissRates(Cal-B C)'!#REF!</definedName>
    <definedName name="FuelPriceTruck" localSheetId="9">#REF!</definedName>
    <definedName name="FuelPriceTruck" localSheetId="11">#REF!</definedName>
    <definedName name="FuelPriceTruck" localSheetId="6">#REF!</definedName>
    <definedName name="FuelPriceTruck" localSheetId="7">#REF!</definedName>
    <definedName name="FuelPriceTruck">#REF!</definedName>
    <definedName name="FuelTruck" localSheetId="4">'[2]EmissRates(Cal-B C)'!#REF!</definedName>
    <definedName name="FuelTruck" localSheetId="9">#REF!</definedName>
    <definedName name="FuelTruck" localSheetId="11">#REF!</definedName>
    <definedName name="FuelTruck" localSheetId="6">#REF!</definedName>
    <definedName name="FuelTruck" localSheetId="7">#REF!</definedName>
    <definedName name="FuelTruck">#REF!</definedName>
    <definedName name="FVMT">[3]TravCalcs!$T$49</definedName>
    <definedName name="FVMTOP">[3]TravCalcs!$T$56</definedName>
    <definedName name="FVMTPP">[3]TravCalcs!$T$55</definedName>
    <definedName name="GateTime0">'[1]1) Project Information'!$O$49</definedName>
    <definedName name="GateTime1">'[1]1) Project Information'!$P$49</definedName>
    <definedName name="GateTime20">'[1]1) Project Information'!$Q$49</definedName>
    <definedName name="GenAlphaB" localSheetId="4">'[2]EmissRates(Cal-B C)'!#REF!</definedName>
    <definedName name="GenAlphaB" localSheetId="9">#REF!</definedName>
    <definedName name="GenAlphaB" localSheetId="11">#REF!</definedName>
    <definedName name="GenAlphaB" localSheetId="6">#REF!</definedName>
    <definedName name="GenAlphaB" localSheetId="7">#REF!</definedName>
    <definedName name="GenAlphaB">#REF!</definedName>
    <definedName name="GenAlphaNB" localSheetId="4">'[2]EmissRates(Cal-B C)'!#REF!</definedName>
    <definedName name="GenAlphaNB" localSheetId="9">#REF!</definedName>
    <definedName name="GenAlphaNB" localSheetId="11">#REF!</definedName>
    <definedName name="GenAlphaNB" localSheetId="6">#REF!</definedName>
    <definedName name="GenAlphaNB" localSheetId="7">#REF!</definedName>
    <definedName name="GenAlphaNB">#REF!</definedName>
    <definedName name="GenBetaB" localSheetId="4">'[2]EmissRates(Cal-B C)'!#REF!</definedName>
    <definedName name="GenBetaB" localSheetId="9">#REF!</definedName>
    <definedName name="GenBetaB" localSheetId="11">#REF!</definedName>
    <definedName name="GenBetaB" localSheetId="6">#REF!</definedName>
    <definedName name="GenBetaB" localSheetId="7">#REF!</definedName>
    <definedName name="GenBetaB">#REF!</definedName>
    <definedName name="GenBetaNB" localSheetId="4">'[2]EmissRates(Cal-B C)'!#REF!</definedName>
    <definedName name="GenBetaNB" localSheetId="9">#REF!</definedName>
    <definedName name="GenBetaNB" localSheetId="11">#REF!</definedName>
    <definedName name="GenBetaNB" localSheetId="6">#REF!</definedName>
    <definedName name="GenBetaNB" localSheetId="7">#REF!</definedName>
    <definedName name="GenBetaNB">#REF!</definedName>
    <definedName name="GenHwy" localSheetId="4">'[2]EmissRates(Cal-B C)'!#REF!</definedName>
    <definedName name="GenHwy" localSheetId="9">#REF!</definedName>
    <definedName name="GenHwy" localSheetId="11">#REF!</definedName>
    <definedName name="GenHwy" localSheetId="6">#REF!</definedName>
    <definedName name="GenHwy" localSheetId="7">#REF!</definedName>
    <definedName name="GenHwy">#REF!</definedName>
    <definedName name="GenLaneCapB" localSheetId="4">'[2]EmissRates(Cal-B C)'!#REF!</definedName>
    <definedName name="GenLaneCapB" localSheetId="9">#REF!</definedName>
    <definedName name="GenLaneCapB" localSheetId="11">#REF!</definedName>
    <definedName name="GenLaneCapB" localSheetId="6">#REF!</definedName>
    <definedName name="GenLaneCapB" localSheetId="7">#REF!</definedName>
    <definedName name="GenLaneCapB">#REF!</definedName>
    <definedName name="GenLaneCapNB" localSheetId="4">'[2]EmissRates(Cal-B C)'!#REF!</definedName>
    <definedName name="GenLaneCapNB" localSheetId="9">#REF!</definedName>
    <definedName name="GenLaneCapNB" localSheetId="11">#REF!</definedName>
    <definedName name="GenLaneCapNB" localSheetId="6">#REF!</definedName>
    <definedName name="GenLaneCapNB" localSheetId="7">#REF!</definedName>
    <definedName name="GenLaneCapNB">#REF!</definedName>
    <definedName name="GenLanesB">'[1]1) Project Information'!$H$25</definedName>
    <definedName name="GenLanesNB">'[1]1) Project Information'!$G$25</definedName>
    <definedName name="HOT" localSheetId="4">'[2]EmissRates(Cal-B C)'!#REF!</definedName>
    <definedName name="HOT" localSheetId="9">#REF!</definedName>
    <definedName name="HOT" localSheetId="11">#REF!</definedName>
    <definedName name="HOT" localSheetId="6">#REF!</definedName>
    <definedName name="HOT" localSheetId="7">#REF!</definedName>
    <definedName name="HOT">#REF!</definedName>
    <definedName name="HOTConv" localSheetId="4">'[2]EmissRates(Cal-B C)'!#REF!</definedName>
    <definedName name="HOTConv" localSheetId="9">#REF!</definedName>
    <definedName name="HOTConv" localSheetId="11">#REF!</definedName>
    <definedName name="HOTConv" localSheetId="6">#REF!</definedName>
    <definedName name="HOTConv" localSheetId="7">#REF!</definedName>
    <definedName name="HOTConv">#REF!</definedName>
    <definedName name="HOV" localSheetId="4">'[2]EmissRates(Cal-B C)'!#REF!</definedName>
    <definedName name="HOV" localSheetId="9">#REF!</definedName>
    <definedName name="HOV" localSheetId="11">#REF!</definedName>
    <definedName name="HOV" localSheetId="6">#REF!</definedName>
    <definedName name="HOV" localSheetId="7">#REF!</definedName>
    <definedName name="HOV">#REF!</definedName>
    <definedName name="HOV2to3" localSheetId="4">'[2]EmissRates(Cal-B C)'!#REF!</definedName>
    <definedName name="HOV2to3" localSheetId="9">#REF!</definedName>
    <definedName name="HOV2to3" localSheetId="11">#REF!</definedName>
    <definedName name="HOV2to3" localSheetId="6">#REF!</definedName>
    <definedName name="HOV2to3" localSheetId="7">#REF!</definedName>
    <definedName name="HOV2to3">#REF!</definedName>
    <definedName name="HOVAlpha" localSheetId="4">'[2]EmissRates(Cal-B C)'!#REF!</definedName>
    <definedName name="HOVAlpha" localSheetId="9">#REF!</definedName>
    <definedName name="HOVAlpha" localSheetId="11">#REF!</definedName>
    <definedName name="HOVAlpha" localSheetId="6">#REF!</definedName>
    <definedName name="HOVAlpha" localSheetId="7">#REF!</definedName>
    <definedName name="HOVAlpha">#REF!</definedName>
    <definedName name="HOVBeta" localSheetId="4">'[2]EmissRates(Cal-B C)'!#REF!</definedName>
    <definedName name="HOVBeta" localSheetId="9">#REF!</definedName>
    <definedName name="HOVBeta" localSheetId="11">#REF!</definedName>
    <definedName name="HOVBeta" localSheetId="6">#REF!</definedName>
    <definedName name="HOVBeta" localSheetId="7">#REF!</definedName>
    <definedName name="HOVBeta">#REF!</definedName>
    <definedName name="HOVConn" localSheetId="4">'[2]EmissRates(Cal-B C)'!#REF!</definedName>
    <definedName name="HOVConn" localSheetId="9">#REF!</definedName>
    <definedName name="HOVConn" localSheetId="11">#REF!</definedName>
    <definedName name="HOVConn" localSheetId="6">#REF!</definedName>
    <definedName name="HOVConn" localSheetId="7">#REF!</definedName>
    <definedName name="HOVConn">#REF!</definedName>
    <definedName name="HOVDrop" localSheetId="4">'[2]EmissRates(Cal-B C)'!#REF!</definedName>
    <definedName name="HOVDrop" localSheetId="9">#REF!</definedName>
    <definedName name="HOVDrop" localSheetId="11">#REF!</definedName>
    <definedName name="HOVDrop" localSheetId="6">#REF!</definedName>
    <definedName name="HOVDrop" localSheetId="7">#REF!</definedName>
    <definedName name="HOVDrop">#REF!</definedName>
    <definedName name="HOVLaneCap" localSheetId="4">'[2]EmissRates(Cal-B C)'!#REF!</definedName>
    <definedName name="HOVLaneCap" localSheetId="9">#REF!</definedName>
    <definedName name="HOVLaneCap" localSheetId="11">#REF!</definedName>
    <definedName name="HOVLaneCap" localSheetId="6">#REF!</definedName>
    <definedName name="HOVLaneCap" localSheetId="7">#REF!</definedName>
    <definedName name="HOVLaneCap">#REF!</definedName>
    <definedName name="HOVLanesB">'[1]1) Project Information'!$H$26</definedName>
    <definedName name="HOVLanesNB">'[1]1) Project Information'!$G$26</definedName>
    <definedName name="HOVRest">'[1]1) Project Information'!$G$27</definedName>
    <definedName name="HOVvolB">'[1]1) Project Information'!$H$40</definedName>
    <definedName name="HOVvolNB">'[1]1) Project Information'!$G$40</definedName>
    <definedName name="HwyFatCost" localSheetId="4">'[2]EmissRates(Cal-B C)'!#REF!</definedName>
    <definedName name="HwyFatCost" localSheetId="9">#REF!</definedName>
    <definedName name="HwyFatCost" localSheetId="11">#REF!</definedName>
    <definedName name="HwyFatCost" localSheetId="6">#REF!</definedName>
    <definedName name="HwyFatCost" localSheetId="7">#REF!</definedName>
    <definedName name="HwyFatCost">#REF!</definedName>
    <definedName name="HwyFatCostA" localSheetId="4">'[2]EmissRates(Cal-B C)'!#REF!</definedName>
    <definedName name="HwyFatCostA" localSheetId="9">#REF!</definedName>
    <definedName name="HwyFatCostA" localSheetId="11">#REF!</definedName>
    <definedName name="HwyFatCostA" localSheetId="6">#REF!</definedName>
    <definedName name="HwyFatCostA" localSheetId="7">#REF!</definedName>
    <definedName name="HwyFatCostA">#REF!</definedName>
    <definedName name="HwyFatCostR" localSheetId="4">'[2]EmissRates(Cal-B C)'!#REF!</definedName>
    <definedName name="HwyFatCostR" localSheetId="9">#REF!</definedName>
    <definedName name="HwyFatCostR" localSheetId="11">#REF!</definedName>
    <definedName name="HwyFatCostR" localSheetId="6">#REF!</definedName>
    <definedName name="HwyFatCostR" localSheetId="7">#REF!</definedName>
    <definedName name="HwyFatCostR">#REF!</definedName>
    <definedName name="HwyFatCostS" localSheetId="4">'[2]EmissRates(Cal-B C)'!#REF!</definedName>
    <definedName name="HwyFatCostS" localSheetId="9">#REF!</definedName>
    <definedName name="HwyFatCostS" localSheetId="11">#REF!</definedName>
    <definedName name="HwyFatCostS" localSheetId="6">#REF!</definedName>
    <definedName name="HwyFatCostS" localSheetId="7">#REF!</definedName>
    <definedName name="HwyFatCostS">#REF!</definedName>
    <definedName name="HwyFatCostU" localSheetId="4">'[2]EmissRates(Cal-B C)'!#REF!</definedName>
    <definedName name="HwyFatCostU" localSheetId="9">#REF!</definedName>
    <definedName name="HwyFatCostU" localSheetId="11">#REF!</definedName>
    <definedName name="HwyFatCostU" localSheetId="6">#REF!</definedName>
    <definedName name="HwyFatCostU" localSheetId="7">#REF!</definedName>
    <definedName name="HwyFatCostU">#REF!</definedName>
    <definedName name="HwyInjCost" localSheetId="4">'[2]EmissRates(Cal-B C)'!#REF!</definedName>
    <definedName name="HwyInjCost" localSheetId="9">#REF!</definedName>
    <definedName name="HwyInjCost" localSheetId="11">#REF!</definedName>
    <definedName name="HwyInjCost" localSheetId="6">#REF!</definedName>
    <definedName name="HwyInjCost" localSheetId="7">#REF!</definedName>
    <definedName name="HwyInjCost">#REF!</definedName>
    <definedName name="HwyInjCostA" localSheetId="4">'[2]EmissRates(Cal-B C)'!#REF!</definedName>
    <definedName name="HwyInjCostA" localSheetId="9">#REF!</definedName>
    <definedName name="HwyInjCostA" localSheetId="11">#REF!</definedName>
    <definedName name="HwyInjCostA" localSheetId="6">#REF!</definedName>
    <definedName name="HwyInjCostA" localSheetId="7">#REF!</definedName>
    <definedName name="HwyInjCostA">#REF!</definedName>
    <definedName name="HwyInjCostR" localSheetId="4">'[2]EmissRates(Cal-B C)'!#REF!</definedName>
    <definedName name="HwyInjCostR" localSheetId="9">#REF!</definedName>
    <definedName name="HwyInjCostR" localSheetId="11">#REF!</definedName>
    <definedName name="HwyInjCostR" localSheetId="6">#REF!</definedName>
    <definedName name="HwyInjCostR" localSheetId="7">#REF!</definedName>
    <definedName name="HwyInjCostR">#REF!</definedName>
    <definedName name="HwyInjCostS" localSheetId="4">'[2]EmissRates(Cal-B C)'!#REF!</definedName>
    <definedName name="HwyInjCostS" localSheetId="9">#REF!</definedName>
    <definedName name="HwyInjCostS" localSheetId="11">#REF!</definedName>
    <definedName name="HwyInjCostS" localSheetId="6">#REF!</definedName>
    <definedName name="HwyInjCostS" localSheetId="7">#REF!</definedName>
    <definedName name="HwyInjCostS">#REF!</definedName>
    <definedName name="HwyInjCostU" localSheetId="4">'[2]EmissRates(Cal-B C)'!#REF!</definedName>
    <definedName name="HwyInjCostU" localSheetId="9">#REF!</definedName>
    <definedName name="HwyInjCostU" localSheetId="11">#REF!</definedName>
    <definedName name="HwyInjCostU" localSheetId="6">#REF!</definedName>
    <definedName name="HwyInjCostU" localSheetId="7">#REF!</definedName>
    <definedName name="HwyInjCostU">#REF!</definedName>
    <definedName name="HwyPDOCost" localSheetId="4">'[2]EmissRates(Cal-B C)'!#REF!</definedName>
    <definedName name="HwyPDOCost" localSheetId="9">#REF!</definedName>
    <definedName name="HwyPDOCost" localSheetId="11">#REF!</definedName>
    <definedName name="HwyPDOCost" localSheetId="6">#REF!</definedName>
    <definedName name="HwyPDOCost" localSheetId="7">#REF!</definedName>
    <definedName name="HwyPDOCost">#REF!</definedName>
    <definedName name="HwyPDOCostA" localSheetId="4">'[2]EmissRates(Cal-B C)'!#REF!</definedName>
    <definedName name="HwyPDOCostA" localSheetId="9">#REF!</definedName>
    <definedName name="HwyPDOCostA" localSheetId="11">#REF!</definedName>
    <definedName name="HwyPDOCostA" localSheetId="6">#REF!</definedName>
    <definedName name="HwyPDOCostA" localSheetId="7">#REF!</definedName>
    <definedName name="HwyPDOCostA">#REF!</definedName>
    <definedName name="HwyPDOCostR" localSheetId="4">'[2]EmissRates(Cal-B C)'!#REF!</definedName>
    <definedName name="HwyPDOCostR" localSheetId="9">#REF!</definedName>
    <definedName name="HwyPDOCostR" localSheetId="11">#REF!</definedName>
    <definedName name="HwyPDOCostR" localSheetId="6">#REF!</definedName>
    <definedName name="HwyPDOCostR" localSheetId="7">#REF!</definedName>
    <definedName name="HwyPDOCostR">#REF!</definedName>
    <definedName name="HwyPDOCostS" localSheetId="4">'[2]EmissRates(Cal-B C)'!#REF!</definedName>
    <definedName name="HwyPDOCostS" localSheetId="9">#REF!</definedName>
    <definedName name="HwyPDOCostS" localSheetId="11">#REF!</definedName>
    <definedName name="HwyPDOCostS" localSheetId="6">#REF!</definedName>
    <definedName name="HwyPDOCostS" localSheetId="7">#REF!</definedName>
    <definedName name="HwyPDOCostS">#REF!</definedName>
    <definedName name="HwyPDOCostU" localSheetId="4">'[2]EmissRates(Cal-B C)'!#REF!</definedName>
    <definedName name="HwyPDOCostU" localSheetId="9">#REF!</definedName>
    <definedName name="HwyPDOCostU" localSheetId="11">#REF!</definedName>
    <definedName name="HwyPDOCostU" localSheetId="6">#REF!</definedName>
    <definedName name="HwyPDOCostU" localSheetId="7">#REF!</definedName>
    <definedName name="HwyPDOCostU">#REF!</definedName>
    <definedName name="HwyRail" localSheetId="4">'[2]EmissRates(Cal-B C)'!#REF!</definedName>
    <definedName name="HwyRail" localSheetId="9">#REF!</definedName>
    <definedName name="HwyRail" localSheetId="11">#REF!</definedName>
    <definedName name="HwyRail" localSheetId="6">#REF!</definedName>
    <definedName name="HwyRail" localSheetId="7">#REF!</definedName>
    <definedName name="HwyRail">#REF!</definedName>
    <definedName name="i1b" localSheetId="3">#REF!</definedName>
    <definedName name="i1b" localSheetId="4">#REF!</definedName>
    <definedName name="i1b" localSheetId="9">#REF!</definedName>
    <definedName name="i1b" localSheetId="11">#REF!</definedName>
    <definedName name="i1b" localSheetId="6">#REF!</definedName>
    <definedName name="i1b" localSheetId="7">#REF!</definedName>
    <definedName name="i1b" localSheetId="15">#REF!</definedName>
    <definedName name="i1b">#REF!</definedName>
    <definedName name="i1nb" localSheetId="3">#REF!</definedName>
    <definedName name="i1nb" localSheetId="4">#REF!</definedName>
    <definedName name="i1nb" localSheetId="9">#REF!</definedName>
    <definedName name="i1nb" localSheetId="11">#REF!</definedName>
    <definedName name="i1nb" localSheetId="6">#REF!</definedName>
    <definedName name="i1nb" localSheetId="7">#REF!</definedName>
    <definedName name="i1nb" localSheetId="15">#REF!</definedName>
    <definedName name="i1nb">#REF!</definedName>
    <definedName name="i2b" localSheetId="3">#REF!</definedName>
    <definedName name="i2b" localSheetId="4">#REF!</definedName>
    <definedName name="i2b" localSheetId="9">#REF!</definedName>
    <definedName name="i2b" localSheetId="11">#REF!</definedName>
    <definedName name="i2b" localSheetId="6">#REF!</definedName>
    <definedName name="i2b" localSheetId="7">#REF!</definedName>
    <definedName name="i2b" localSheetId="15">#REF!</definedName>
    <definedName name="i2b">#REF!</definedName>
    <definedName name="i2nb" localSheetId="3">#REF!</definedName>
    <definedName name="i2nb" localSheetId="4">#REF!</definedName>
    <definedName name="i2nb" localSheetId="9">#REF!</definedName>
    <definedName name="i2nb" localSheetId="11">#REF!</definedName>
    <definedName name="i2nb" localSheetId="6">#REF!</definedName>
    <definedName name="i2nb" localSheetId="7">#REF!</definedName>
    <definedName name="i2nb" localSheetId="15">#REF!</definedName>
    <definedName name="i2nb">#REF!</definedName>
    <definedName name="IdleSpeed" localSheetId="4">'[2]EmissRates(Cal-B C)'!#REF!</definedName>
    <definedName name="IdleSpeed" localSheetId="9">#REF!</definedName>
    <definedName name="IdleSpeed" localSheetId="11">#REF!</definedName>
    <definedName name="IdleSpeed" localSheetId="6">#REF!</definedName>
    <definedName name="IdleSpeed" localSheetId="7">#REF!</definedName>
    <definedName name="IdleSpeed">#REF!</definedName>
    <definedName name="IM" localSheetId="4">'[2]EmissRates(Cal-B C)'!#REF!</definedName>
    <definedName name="IM" localSheetId="9">#REF!</definedName>
    <definedName name="IM" localSheetId="11">#REF!</definedName>
    <definedName name="IM" localSheetId="6">#REF!</definedName>
    <definedName name="IM" localSheetId="7">#REF!</definedName>
    <definedName name="IM">#REF!</definedName>
    <definedName name="ImpactedB">'[1]1) Project Information'!$H$33</definedName>
    <definedName name="ImpactedNB">'[1]1) Project Information'!$G$33</definedName>
    <definedName name="Induced">'[1]3) Results'!$M$30</definedName>
    <definedName name="Inj3Yr">'[1]1) Project Information'!$Q$13</definedName>
    <definedName name="InjAValue" localSheetId="4">'[2]EmissRates(Cal-B C)'!#REF!</definedName>
    <definedName name="InjAValue" localSheetId="9">#REF!</definedName>
    <definedName name="InjAValue" localSheetId="11">#REF!</definedName>
    <definedName name="InjAValue" localSheetId="6">#REF!</definedName>
    <definedName name="InjAValue" localSheetId="7">#REF!</definedName>
    <definedName name="InjAValue">#REF!</definedName>
    <definedName name="InjBValue" localSheetId="4">'[2]EmissRates(Cal-B C)'!#REF!</definedName>
    <definedName name="InjBValue" localSheetId="9">#REF!</definedName>
    <definedName name="InjBValue" localSheetId="11">#REF!</definedName>
    <definedName name="InjBValue" localSheetId="6">#REF!</definedName>
    <definedName name="InjBValue" localSheetId="7">#REF!</definedName>
    <definedName name="InjBValue">#REF!</definedName>
    <definedName name="InjCValue" localSheetId="4">'[2]EmissRates(Cal-B C)'!#REF!</definedName>
    <definedName name="InjCValue" localSheetId="9">#REF!</definedName>
    <definedName name="InjCValue" localSheetId="11">#REF!</definedName>
    <definedName name="InjCValue" localSheetId="6">#REF!</definedName>
    <definedName name="InjCValue" localSheetId="7">#REF!</definedName>
    <definedName name="InjCValue">#REF!</definedName>
    <definedName name="InjuryRateB">'[1]2) Model Inputs'!$U$21</definedName>
    <definedName name="InjuryRateNB">'[1]2) Model Inputs'!$U$8</definedName>
    <definedName name="Intersect" localSheetId="4">'[2]EmissRates(Cal-B C)'!#REF!</definedName>
    <definedName name="Intersect" localSheetId="9">#REF!</definedName>
    <definedName name="Intersect" localSheetId="11">#REF!</definedName>
    <definedName name="Intersect" localSheetId="6">#REF!</definedName>
    <definedName name="Intersect" localSheetId="7">#REF!</definedName>
    <definedName name="Intersect">#REF!</definedName>
    <definedName name="intlstackRate">'[5]Tunnel Capacity'!$C$3</definedName>
    <definedName name="IRI1B">'[1]1) Project Information'!$H$55</definedName>
    <definedName name="IRI1NB">'[1]1) Project Information'!$G$55</definedName>
    <definedName name="IRI20B">'[1]1) Project Information'!$H$56</definedName>
    <definedName name="IRI20NB">'[1]1) Project Information'!$G$56</definedName>
    <definedName name="isabel" localSheetId="9">#REF!</definedName>
    <definedName name="isabel" localSheetId="11">#REF!</definedName>
    <definedName name="isabel" localSheetId="7">#REF!</definedName>
    <definedName name="isabel">#REF!</definedName>
    <definedName name="LifeCycleBene">'[1]Final Calculations'!$O$55</definedName>
    <definedName name="LifeCycleCost">'[1]Final Calculations'!$P$55</definedName>
    <definedName name="LRT" localSheetId="4">'[2]EmissRates(Cal-B C)'!#REF!</definedName>
    <definedName name="LRT" localSheetId="9">#REF!</definedName>
    <definedName name="LRT" localSheetId="11">#REF!</definedName>
    <definedName name="LRT" localSheetId="6">#REF!</definedName>
    <definedName name="LRT" localSheetId="7">#REF!</definedName>
    <definedName name="LRT">#REF!</definedName>
    <definedName name="LRTAccCost" localSheetId="4">'[2]EmissRates(Cal-B C)'!#REF!</definedName>
    <definedName name="LRTAccCost" localSheetId="9">#REF!</definedName>
    <definedName name="LRTAccCost" localSheetId="11">#REF!</definedName>
    <definedName name="LRTAccCost" localSheetId="6">#REF!</definedName>
    <definedName name="LRTAccCost" localSheetId="7">#REF!</definedName>
    <definedName name="LRTAccCost">#REF!</definedName>
    <definedName name="maxLength">'[5]Tunnel Capacity'!$C$2</definedName>
    <definedName name="MaxVC" localSheetId="4">'[2]EmissRates(Cal-B C)'!#REF!</definedName>
    <definedName name="MaxVC" localSheetId="9">#REF!</definedName>
    <definedName name="MaxVC" localSheetId="11">#REF!</definedName>
    <definedName name="MaxVC" localSheetId="6">#REF!</definedName>
    <definedName name="MaxVC" localSheetId="7">#REF!</definedName>
    <definedName name="MaxVC">#REF!</definedName>
    <definedName name="MeterStrat">'[1]1) Project Information'!$G$48</definedName>
    <definedName name="MSOPT">[3]Inputs!$X$62</definedName>
    <definedName name="NetPresentValue">'[1]Final Calculations'!$Q$55</definedName>
    <definedName name="new" localSheetId="9">#REF!</definedName>
    <definedName name="new" localSheetId="11">#REF!</definedName>
    <definedName name="new" localSheetId="7">#REF!</definedName>
    <definedName name="new">#REF!</definedName>
    <definedName name="newest" localSheetId="9">#REF!</definedName>
    <definedName name="newest" localSheetId="11">#REF!</definedName>
    <definedName name="newest" localSheetId="7">#REF!</definedName>
    <definedName name="newest">#REF!</definedName>
    <definedName name="newhg" localSheetId="9">#REF!</definedName>
    <definedName name="newhg" localSheetId="11">#REF!</definedName>
    <definedName name="newhg" localSheetId="7">#REF!</definedName>
    <definedName name="newhg">#REF!</definedName>
    <definedName name="NNS1B">'[1]2) Model Inputs'!$I$62</definedName>
    <definedName name="NNS1NB">'[1]2) Model Inputs'!$I$22</definedName>
    <definedName name="NNS20B">'[1]2) Model Inputs'!$I$81</definedName>
    <definedName name="NNS20NB">'[1]2) Model Inputs'!$I$41</definedName>
    <definedName name="NNT1Ind">'[1]2) Model Inputs'!$AG$14</definedName>
    <definedName name="NNT20Ind">'[1]2) Model Inputs'!$AG$29</definedName>
    <definedName name="NNV1B">'[1]2) Model Inputs'!$I$59</definedName>
    <definedName name="NNV1NB">'[1]2) Model Inputs'!$I$19</definedName>
    <definedName name="NNV20B">'[1]2) Model Inputs'!$I$78</definedName>
    <definedName name="NNV20NB">'[1]2) Model Inputs'!$I$38</definedName>
    <definedName name="NoInjValue" localSheetId="4">'[2]EmissRates(Cal-B C)'!#REF!</definedName>
    <definedName name="NoInjValue" localSheetId="9">#REF!</definedName>
    <definedName name="NoInjValue" localSheetId="11">#REF!</definedName>
    <definedName name="NoInjValue" localSheetId="6">#REF!</definedName>
    <definedName name="NoInjValue" localSheetId="7">#REF!</definedName>
    <definedName name="NoInjValue">#REF!</definedName>
    <definedName name="NonFuelAuto" localSheetId="4">'[2]EmissRates(Cal-B C)'!#REF!</definedName>
    <definedName name="NonFuelAuto" localSheetId="9">#REF!</definedName>
    <definedName name="NonFuelAuto" localSheetId="11">#REF!</definedName>
    <definedName name="NonFuelAuto" localSheetId="6">#REF!</definedName>
    <definedName name="NonFuelAuto" localSheetId="7">#REF!</definedName>
    <definedName name="NonFuelAuto">#REF!</definedName>
    <definedName name="NonFuelPavAdj" localSheetId="4">'[2]EmissRates(Cal-B C)'!#REF!</definedName>
    <definedName name="NonFuelPavAdj" localSheetId="9">#REF!</definedName>
    <definedName name="NonFuelPavAdj" localSheetId="11">#REF!</definedName>
    <definedName name="NonFuelPavAdj" localSheetId="6">#REF!</definedName>
    <definedName name="NonFuelPavAdj" localSheetId="7">#REF!</definedName>
    <definedName name="NonFuelPavAdj">#REF!</definedName>
    <definedName name="NonFuelTruck" localSheetId="4">'[2]EmissRates(Cal-B C)'!#REF!</definedName>
    <definedName name="NonFuelTruck" localSheetId="9">#REF!</definedName>
    <definedName name="NonFuelTruck" localSheetId="11">#REF!</definedName>
    <definedName name="NonFuelTruck" localSheetId="6">#REF!</definedName>
    <definedName name="NonFuelTruck" localSheetId="7">#REF!</definedName>
    <definedName name="NonFuelTruck">#REF!</definedName>
    <definedName name="NonFwyAccRate" localSheetId="4">'[2]EmissRates(Cal-B C)'!#REF!</definedName>
    <definedName name="NonFwyAccRate" localSheetId="9">#REF!</definedName>
    <definedName name="NonFwyAccRate" localSheetId="11">#REF!</definedName>
    <definedName name="NonFwyAccRate" localSheetId="6">#REF!</definedName>
    <definedName name="NonFwyAccRate" localSheetId="7">#REF!</definedName>
    <definedName name="NonFwyAccRate">#REF!</definedName>
    <definedName name="NTS1B">'[1]2) Model Inputs'!$I$64</definedName>
    <definedName name="NTS1NB">'[1]2) Model Inputs'!$I$24</definedName>
    <definedName name="NTS20B">'[1]2) Model Inputs'!$I$83</definedName>
    <definedName name="NTS20NB">'[1]2) Model Inputs'!$I$43</definedName>
    <definedName name="NTT1Ind">'[1]2) Model Inputs'!$AG$15</definedName>
    <definedName name="NTT20Ind">'[1]2) Model Inputs'!$AG$30</definedName>
    <definedName name="NTV1B">'[1]2) Model Inputs'!$I$61</definedName>
    <definedName name="NTV1NB">'[1]2) Model Inputs'!$I$21</definedName>
    <definedName name="NTV20B">'[1]2) Model Inputs'!$I$80</definedName>
    <definedName name="NTV20NB">'[1]2) Model Inputs'!$I$40</definedName>
    <definedName name="NumDirections">'[1]1) Project Information'!$F$15</definedName>
    <definedName name="NumTrain0">'[1]1) Project Information'!$O$48</definedName>
    <definedName name="NumTrain1">'[1]1) Project Information'!$P$48</definedName>
    <definedName name="NumTrain20">'[1]1) Project Information'!$Q$48</definedName>
    <definedName name="NWS1B">'[1]2) Model Inputs'!$I$63</definedName>
    <definedName name="NWS1NB">'[1]2) Model Inputs'!$I$23</definedName>
    <definedName name="NWS20B">'[1]2) Model Inputs'!$I$82</definedName>
    <definedName name="NWS20NB">'[1]2) Model Inputs'!$I$42</definedName>
    <definedName name="NWV1B">'[1]2) Model Inputs'!$I$60</definedName>
    <definedName name="NWV1NB">'[1]2) Model Inputs'!$I$20</definedName>
    <definedName name="NWV20B">'[1]2) Model Inputs'!$I$79</definedName>
    <definedName name="NWV20NB">'[1]2) Model Inputs'!$I$39</definedName>
    <definedName name="OffRamp" localSheetId="4">'[2]EmissRates(Cal-B C)'!#REF!</definedName>
    <definedName name="OffRamp" localSheetId="9">#REF!</definedName>
    <definedName name="OffRamp" localSheetId="11">#REF!</definedName>
    <definedName name="OffRamp" localSheetId="6">#REF!</definedName>
    <definedName name="OffRamp" localSheetId="7">#REF!</definedName>
    <definedName name="OffRamp">#REF!</definedName>
    <definedName name="OnRamp" localSheetId="4">'[2]EmissRates(Cal-B C)'!#REF!</definedName>
    <definedName name="OnRamp" localSheetId="9">#REF!</definedName>
    <definedName name="OnRamp" localSheetId="11">#REF!</definedName>
    <definedName name="OnRamp" localSheetId="6">#REF!</definedName>
    <definedName name="OnRamp" localSheetId="7">#REF!</definedName>
    <definedName name="OnRamp">#REF!</definedName>
    <definedName name="Page1" localSheetId="4">#REF!</definedName>
    <definedName name="Page1" localSheetId="9">#REF!</definedName>
    <definedName name="Page1" localSheetId="11">#REF!</definedName>
    <definedName name="Page1" localSheetId="6">#REF!</definedName>
    <definedName name="Page1" localSheetId="7">#REF!</definedName>
    <definedName name="Page1">#REF!</definedName>
    <definedName name="Page10" localSheetId="4">#REF!</definedName>
    <definedName name="Page10" localSheetId="9">#REF!</definedName>
    <definedName name="Page10" localSheetId="11">#REF!</definedName>
    <definedName name="Page10" localSheetId="6">#REF!</definedName>
    <definedName name="Page10" localSheetId="7">#REF!</definedName>
    <definedName name="Page10">#REF!</definedName>
    <definedName name="Page11" localSheetId="4">#REF!</definedName>
    <definedName name="Page11" localSheetId="9">#REF!</definedName>
    <definedName name="Page11" localSheetId="11">#REF!</definedName>
    <definedName name="Page11" localSheetId="6">#REF!</definedName>
    <definedName name="Page11" localSheetId="7">#REF!</definedName>
    <definedName name="Page11">#REF!</definedName>
    <definedName name="page11111" localSheetId="9">#REF!</definedName>
    <definedName name="page11111" localSheetId="11">#REF!</definedName>
    <definedName name="page11111" localSheetId="7">#REF!</definedName>
    <definedName name="page11111">#REF!</definedName>
    <definedName name="Page12" localSheetId="4">#REF!</definedName>
    <definedName name="Page12" localSheetId="9">#REF!</definedName>
    <definedName name="Page12" localSheetId="11">#REF!</definedName>
    <definedName name="Page12" localSheetId="6">#REF!</definedName>
    <definedName name="Page12" localSheetId="7">#REF!</definedName>
    <definedName name="Page12">#REF!</definedName>
    <definedName name="Page13" localSheetId="4">#REF!</definedName>
    <definedName name="Page13" localSheetId="9">#REF!</definedName>
    <definedName name="Page13" localSheetId="11">#REF!</definedName>
    <definedName name="Page13" localSheetId="6">#REF!</definedName>
    <definedName name="Page13" localSheetId="7">#REF!</definedName>
    <definedName name="Page13">#REF!</definedName>
    <definedName name="Page14" localSheetId="4">#REF!</definedName>
    <definedName name="Page14" localSheetId="9">#REF!</definedName>
    <definedName name="Page14" localSheetId="11">#REF!</definedName>
    <definedName name="Page14" localSheetId="6">#REF!</definedName>
    <definedName name="Page14" localSheetId="7">#REF!</definedName>
    <definedName name="Page14">#REF!</definedName>
    <definedName name="Page15" localSheetId="4">#REF!</definedName>
    <definedName name="Page15" localSheetId="9">#REF!</definedName>
    <definedName name="Page15" localSheetId="11">#REF!</definedName>
    <definedName name="Page15" localSheetId="6">#REF!</definedName>
    <definedName name="Page15" localSheetId="7">#REF!</definedName>
    <definedName name="Page15">#REF!</definedName>
    <definedName name="Page16" localSheetId="4">#REF!</definedName>
    <definedName name="Page16" localSheetId="9">#REF!</definedName>
    <definedName name="Page16" localSheetId="11">#REF!</definedName>
    <definedName name="Page16" localSheetId="6">#REF!</definedName>
    <definedName name="Page16" localSheetId="7">#REF!</definedName>
    <definedName name="Page16">#REF!</definedName>
    <definedName name="Page17" localSheetId="4">#REF!</definedName>
    <definedName name="Page17" localSheetId="9">#REF!</definedName>
    <definedName name="Page17" localSheetId="11">#REF!</definedName>
    <definedName name="Page17" localSheetId="6">#REF!</definedName>
    <definedName name="Page17" localSheetId="7">#REF!</definedName>
    <definedName name="Page17">#REF!</definedName>
    <definedName name="Page18" localSheetId="4">#REF!</definedName>
    <definedName name="Page18" localSheetId="9">#REF!</definedName>
    <definedName name="Page18" localSheetId="11">#REF!</definedName>
    <definedName name="Page18" localSheetId="6">#REF!</definedName>
    <definedName name="Page18" localSheetId="7">#REF!</definedName>
    <definedName name="Page18">#REF!</definedName>
    <definedName name="Page19" localSheetId="4">#REF!</definedName>
    <definedName name="Page19" localSheetId="9">#REF!</definedName>
    <definedName name="Page19" localSheetId="11">#REF!</definedName>
    <definedName name="Page19" localSheetId="6">#REF!</definedName>
    <definedName name="Page19" localSheetId="7">#REF!</definedName>
    <definedName name="Page19">#REF!</definedName>
    <definedName name="Page2" localSheetId="4">#REF!</definedName>
    <definedName name="Page2" localSheetId="9">#REF!</definedName>
    <definedName name="Page2" localSheetId="11">#REF!</definedName>
    <definedName name="Page2" localSheetId="6">#REF!</definedName>
    <definedName name="Page2" localSheetId="7">#REF!</definedName>
    <definedName name="Page2">#REF!</definedName>
    <definedName name="Page20" localSheetId="4">#REF!</definedName>
    <definedName name="Page20" localSheetId="9">#REF!</definedName>
    <definedName name="Page20" localSheetId="11">#REF!</definedName>
    <definedName name="Page20" localSheetId="6">#REF!</definedName>
    <definedName name="Page20" localSheetId="7">#REF!</definedName>
    <definedName name="Page20">#REF!</definedName>
    <definedName name="Page21" localSheetId="4">#REF!</definedName>
    <definedName name="Page21" localSheetId="9">#REF!</definedName>
    <definedName name="Page21" localSheetId="11">#REF!</definedName>
    <definedName name="Page21" localSheetId="6">#REF!</definedName>
    <definedName name="Page21" localSheetId="7">#REF!</definedName>
    <definedName name="Page21">#REF!</definedName>
    <definedName name="Page22" localSheetId="4">#REF!</definedName>
    <definedName name="Page22" localSheetId="9">#REF!</definedName>
    <definedName name="Page22" localSheetId="11">#REF!</definedName>
    <definedName name="Page22" localSheetId="6">#REF!</definedName>
    <definedName name="Page22" localSheetId="7">#REF!</definedName>
    <definedName name="Page22">#REF!</definedName>
    <definedName name="Page23" localSheetId="4">#REF!</definedName>
    <definedName name="Page23" localSheetId="9">#REF!</definedName>
    <definedName name="Page23" localSheetId="11">#REF!</definedName>
    <definedName name="Page23" localSheetId="6">#REF!</definedName>
    <definedName name="Page23" localSheetId="7">#REF!</definedName>
    <definedName name="Page23">#REF!</definedName>
    <definedName name="Page24" localSheetId="4">#REF!</definedName>
    <definedName name="Page24" localSheetId="9">#REF!</definedName>
    <definedName name="Page24" localSheetId="11">#REF!</definedName>
    <definedName name="Page24" localSheetId="6">#REF!</definedName>
    <definedName name="Page24" localSheetId="7">#REF!</definedName>
    <definedName name="Page24">#REF!</definedName>
    <definedName name="Page25" localSheetId="4">#REF!</definedName>
    <definedName name="Page25" localSheetId="9">#REF!</definedName>
    <definedName name="Page25" localSheetId="11">#REF!</definedName>
    <definedName name="Page25" localSheetId="6">#REF!</definedName>
    <definedName name="Page25" localSheetId="7">#REF!</definedName>
    <definedName name="Page25">#REF!</definedName>
    <definedName name="Page26" localSheetId="4">#REF!</definedName>
    <definedName name="Page26" localSheetId="9">#REF!</definedName>
    <definedName name="Page26" localSheetId="11">#REF!</definedName>
    <definedName name="Page26" localSheetId="6">#REF!</definedName>
    <definedName name="Page26" localSheetId="7">#REF!</definedName>
    <definedName name="Page26">#REF!</definedName>
    <definedName name="Page27" localSheetId="4">#REF!</definedName>
    <definedName name="Page27" localSheetId="9">#REF!</definedName>
    <definedName name="Page27" localSheetId="11">#REF!</definedName>
    <definedName name="Page27" localSheetId="6">#REF!</definedName>
    <definedName name="Page27" localSheetId="7">#REF!</definedName>
    <definedName name="Page27">#REF!</definedName>
    <definedName name="Page28" localSheetId="4">#REF!</definedName>
    <definedName name="Page28" localSheetId="9">#REF!</definedName>
    <definedName name="Page28" localSheetId="11">#REF!</definedName>
    <definedName name="Page28" localSheetId="6">#REF!</definedName>
    <definedName name="Page28" localSheetId="7">#REF!</definedName>
    <definedName name="Page28">#REF!</definedName>
    <definedName name="Page29" localSheetId="4">#REF!</definedName>
    <definedName name="Page29" localSheetId="9">#REF!</definedName>
    <definedName name="Page29" localSheetId="11">#REF!</definedName>
    <definedName name="Page29" localSheetId="6">#REF!</definedName>
    <definedName name="Page29" localSheetId="7">#REF!</definedName>
    <definedName name="Page29">#REF!</definedName>
    <definedName name="Page3" localSheetId="4">#REF!</definedName>
    <definedName name="Page3" localSheetId="9">#REF!</definedName>
    <definedName name="Page3" localSheetId="11">#REF!</definedName>
    <definedName name="Page3" localSheetId="6">#REF!</definedName>
    <definedName name="Page3" localSheetId="7">#REF!</definedName>
    <definedName name="Page3">#REF!</definedName>
    <definedName name="Page30" localSheetId="4">#REF!</definedName>
    <definedName name="Page30" localSheetId="9">#REF!</definedName>
    <definedName name="Page30" localSheetId="11">#REF!</definedName>
    <definedName name="Page30" localSheetId="6">#REF!</definedName>
    <definedName name="Page30" localSheetId="7">#REF!</definedName>
    <definedName name="Page30">#REF!</definedName>
    <definedName name="Page31" localSheetId="4">#REF!</definedName>
    <definedName name="Page31" localSheetId="9">#REF!</definedName>
    <definedName name="Page31" localSheetId="11">#REF!</definedName>
    <definedName name="Page31" localSheetId="6">#REF!</definedName>
    <definedName name="Page31" localSheetId="7">#REF!</definedName>
    <definedName name="Page31">#REF!</definedName>
    <definedName name="Page32" localSheetId="4">#REF!</definedName>
    <definedName name="Page32" localSheetId="9">#REF!</definedName>
    <definedName name="Page32" localSheetId="11">#REF!</definedName>
    <definedName name="Page32" localSheetId="6">#REF!</definedName>
    <definedName name="Page32" localSheetId="7">#REF!</definedName>
    <definedName name="Page32">#REF!</definedName>
    <definedName name="Page33" localSheetId="4">#REF!</definedName>
    <definedName name="Page33" localSheetId="9">#REF!</definedName>
    <definedName name="Page33" localSheetId="11">#REF!</definedName>
    <definedName name="Page33" localSheetId="6">#REF!</definedName>
    <definedName name="Page33" localSheetId="7">#REF!</definedName>
    <definedName name="Page33">#REF!</definedName>
    <definedName name="Page34" localSheetId="4">#REF!</definedName>
    <definedName name="Page34" localSheetId="9">#REF!</definedName>
    <definedName name="Page34" localSheetId="11">#REF!</definedName>
    <definedName name="Page34" localSheetId="6">#REF!</definedName>
    <definedName name="Page34" localSheetId="7">#REF!</definedName>
    <definedName name="Page34">#REF!</definedName>
    <definedName name="Page35" localSheetId="4">#REF!</definedName>
    <definedName name="Page35" localSheetId="9">#REF!</definedName>
    <definedName name="Page35" localSheetId="11">#REF!</definedName>
    <definedName name="Page35" localSheetId="6">#REF!</definedName>
    <definedName name="Page35" localSheetId="7">#REF!</definedName>
    <definedName name="Page35">#REF!</definedName>
    <definedName name="Page36" localSheetId="4">#REF!</definedName>
    <definedName name="Page36" localSheetId="9">#REF!</definedName>
    <definedName name="Page36" localSheetId="11">#REF!</definedName>
    <definedName name="Page36" localSheetId="6">#REF!</definedName>
    <definedName name="Page36" localSheetId="7">#REF!</definedName>
    <definedName name="Page36">#REF!</definedName>
    <definedName name="Page37" localSheetId="4">#REF!</definedName>
    <definedName name="Page37" localSheetId="9">#REF!</definedName>
    <definedName name="Page37" localSheetId="11">#REF!</definedName>
    <definedName name="Page37" localSheetId="6">#REF!</definedName>
    <definedName name="Page37" localSheetId="7">#REF!</definedName>
    <definedName name="Page37">#REF!</definedName>
    <definedName name="Page38" localSheetId="4">#REF!</definedName>
    <definedName name="Page38" localSheetId="9">#REF!</definedName>
    <definedName name="Page38" localSheetId="11">#REF!</definedName>
    <definedName name="Page38" localSheetId="6">#REF!</definedName>
    <definedName name="Page38" localSheetId="7">#REF!</definedName>
    <definedName name="Page38">#REF!</definedName>
    <definedName name="Page39" localSheetId="4">#REF!</definedName>
    <definedName name="Page39" localSheetId="9">#REF!</definedName>
    <definedName name="Page39" localSheetId="11">#REF!</definedName>
    <definedName name="Page39" localSheetId="6">#REF!</definedName>
    <definedName name="Page39" localSheetId="7">#REF!</definedName>
    <definedName name="Page39">#REF!</definedName>
    <definedName name="Page4" localSheetId="4">#REF!</definedName>
    <definedName name="Page4" localSheetId="9">#REF!</definedName>
    <definedName name="Page4" localSheetId="11">#REF!</definedName>
    <definedName name="Page4" localSheetId="6">#REF!</definedName>
    <definedName name="Page4" localSheetId="7">#REF!</definedName>
    <definedName name="Page4">#REF!</definedName>
    <definedName name="Page40" localSheetId="4">#REF!</definedName>
    <definedName name="Page40" localSheetId="9">#REF!</definedName>
    <definedName name="Page40" localSheetId="11">#REF!</definedName>
    <definedName name="Page40" localSheetId="6">#REF!</definedName>
    <definedName name="Page40" localSheetId="7">#REF!</definedName>
    <definedName name="Page40">#REF!</definedName>
    <definedName name="Page41" localSheetId="4">#REF!</definedName>
    <definedName name="Page41" localSheetId="9">#REF!</definedName>
    <definedName name="Page41" localSheetId="11">#REF!</definedName>
    <definedName name="Page41" localSheetId="6">#REF!</definedName>
    <definedName name="Page41" localSheetId="7">#REF!</definedName>
    <definedName name="Page41">#REF!</definedName>
    <definedName name="Page42" localSheetId="4">#REF!</definedName>
    <definedName name="Page42" localSheetId="9">#REF!</definedName>
    <definedName name="Page42" localSheetId="11">#REF!</definedName>
    <definedName name="Page42" localSheetId="6">#REF!</definedName>
    <definedName name="Page42" localSheetId="7">#REF!</definedName>
    <definedName name="Page42">#REF!</definedName>
    <definedName name="Page43" localSheetId="4">#REF!</definedName>
    <definedName name="Page43" localSheetId="9">#REF!</definedName>
    <definedName name="Page43" localSheetId="11">#REF!</definedName>
    <definedName name="Page43" localSheetId="6">#REF!</definedName>
    <definedName name="Page43" localSheetId="7">#REF!</definedName>
    <definedName name="Page43">#REF!</definedName>
    <definedName name="Page44" localSheetId="4">#REF!</definedName>
    <definedName name="Page44" localSheetId="9">#REF!</definedName>
    <definedName name="Page44" localSheetId="11">#REF!</definedName>
    <definedName name="Page44" localSheetId="6">#REF!</definedName>
    <definedName name="Page44" localSheetId="7">#REF!</definedName>
    <definedName name="Page44">#REF!</definedName>
    <definedName name="Page45" localSheetId="4">#REF!</definedName>
    <definedName name="Page45" localSheetId="9">#REF!</definedName>
    <definedName name="Page45" localSheetId="11">#REF!</definedName>
    <definedName name="Page45" localSheetId="6">#REF!</definedName>
    <definedName name="Page45" localSheetId="7">#REF!</definedName>
    <definedName name="Page45">#REF!</definedName>
    <definedName name="Page5" localSheetId="4">#REF!</definedName>
    <definedName name="Page5" localSheetId="9">#REF!</definedName>
    <definedName name="Page5" localSheetId="11">#REF!</definedName>
    <definedName name="Page5" localSheetId="6">#REF!</definedName>
    <definedName name="Page5" localSheetId="7">#REF!</definedName>
    <definedName name="Page5">#REF!</definedName>
    <definedName name="Page6" localSheetId="4">#REF!</definedName>
    <definedName name="Page6" localSheetId="9">#REF!</definedName>
    <definedName name="Page6" localSheetId="11">#REF!</definedName>
    <definedName name="Page6" localSheetId="6">#REF!</definedName>
    <definedName name="Page6" localSheetId="7">#REF!</definedName>
    <definedName name="Page6">#REF!</definedName>
    <definedName name="Page7" localSheetId="4">#REF!</definedName>
    <definedName name="Page7" localSheetId="9">#REF!</definedName>
    <definedName name="Page7" localSheetId="11">#REF!</definedName>
    <definedName name="Page7" localSheetId="6">#REF!</definedName>
    <definedName name="Page7" localSheetId="7">#REF!</definedName>
    <definedName name="Page7">#REF!</definedName>
    <definedName name="Page8" localSheetId="4">#REF!</definedName>
    <definedName name="Page8" localSheetId="9">#REF!</definedName>
    <definedName name="Page8" localSheetId="11">#REF!</definedName>
    <definedName name="Page8" localSheetId="6">#REF!</definedName>
    <definedName name="Page8" localSheetId="7">#REF!</definedName>
    <definedName name="Page8">#REF!</definedName>
    <definedName name="Page9" localSheetId="4">#REF!</definedName>
    <definedName name="Page9" localSheetId="9">#REF!</definedName>
    <definedName name="Page9" localSheetId="11">#REF!</definedName>
    <definedName name="Page9" localSheetId="6">#REF!</definedName>
    <definedName name="Page9" localSheetId="7">#REF!</definedName>
    <definedName name="Page9">#REF!</definedName>
    <definedName name="PAS1B">'[1]2) Model Inputs'!$U$68</definedName>
    <definedName name="PAS1NB">'[1]2) Model Inputs'!$U$54</definedName>
    <definedName name="PAS20B">'[1]2) Model Inputs'!$U$74</definedName>
    <definedName name="PAS20NB">'[1]2) Model Inputs'!$U$60</definedName>
    <definedName name="PassAccReduce" localSheetId="4">'[2]EmissRates(Cal-B C)'!#REF!</definedName>
    <definedName name="PassAccReduce" localSheetId="9">#REF!</definedName>
    <definedName name="PassAccReduce" localSheetId="11">#REF!</definedName>
    <definedName name="PassAccReduce" localSheetId="6">#REF!</definedName>
    <definedName name="PassAccReduce" localSheetId="7">#REF!</definedName>
    <definedName name="PassAccReduce">#REF!</definedName>
    <definedName name="Passing" localSheetId="4">'[2]EmissRates(Cal-B C)'!#REF!</definedName>
    <definedName name="Passing" localSheetId="9">#REF!</definedName>
    <definedName name="Passing" localSheetId="11">#REF!</definedName>
    <definedName name="Passing" localSheetId="6">#REF!</definedName>
    <definedName name="Passing" localSheetId="7">#REF!</definedName>
    <definedName name="Passing">#REF!</definedName>
    <definedName name="PassRail" localSheetId="4">'[2]EmissRates(Cal-B C)'!#REF!</definedName>
    <definedName name="PassRail" localSheetId="9">#REF!</definedName>
    <definedName name="PassRail" localSheetId="11">#REF!</definedName>
    <definedName name="PassRail" localSheetId="6">#REF!</definedName>
    <definedName name="PassRail" localSheetId="7">#REF!</definedName>
    <definedName name="PassRail">#REF!</definedName>
    <definedName name="PassRailAccCost" localSheetId="4">'[2]EmissRates(Cal-B C)'!#REF!</definedName>
    <definedName name="PassRailAccCost" localSheetId="9">#REF!</definedName>
    <definedName name="PassRailAccCost" localSheetId="11">#REF!</definedName>
    <definedName name="PassRailAccCost" localSheetId="6">#REF!</definedName>
    <definedName name="PassRailAccCost" localSheetId="7">#REF!</definedName>
    <definedName name="PassRailAccCost">#REF!</definedName>
    <definedName name="PAV1B">'[1]2) Model Inputs'!$U$66</definedName>
    <definedName name="PAV1NB">'[1]2) Model Inputs'!$U$52</definedName>
    <definedName name="PAV20B">'[1]2) Model Inputs'!$U$72</definedName>
    <definedName name="PAV20NB">'[1]2) Model Inputs'!$U$58</definedName>
    <definedName name="PaveDet" localSheetId="4">'[2]EmissRates(Cal-B C)'!#REF!</definedName>
    <definedName name="PaveDet" localSheetId="9">#REF!</definedName>
    <definedName name="PaveDet" localSheetId="11">#REF!</definedName>
    <definedName name="PaveDet" localSheetId="6">#REF!</definedName>
    <definedName name="PaveDet" localSheetId="7">#REF!</definedName>
    <definedName name="PaveDet">#REF!</definedName>
    <definedName name="Pavement" localSheetId="4">'[2]EmissRates(Cal-B C)'!#REF!</definedName>
    <definedName name="Pavement" localSheetId="9">#REF!</definedName>
    <definedName name="Pavement" localSheetId="11">#REF!</definedName>
    <definedName name="Pavement" localSheetId="6">#REF!</definedName>
    <definedName name="Pavement" localSheetId="7">#REF!</definedName>
    <definedName name="Pavement">#REF!</definedName>
    <definedName name="Payback">'[1]Final Calculations'!$AM$58</definedName>
    <definedName name="Pdo3Yr">'[1]1) Project Information'!$Q$14</definedName>
    <definedName name="PDORateB">'[1]2) Model Inputs'!$U$22</definedName>
    <definedName name="PDORateNB">'[1]2) Model Inputs'!$U$9</definedName>
    <definedName name="PEAKLENA">[3]Defaults!$J$103:$J$109</definedName>
    <definedName name="PeakLngthNB">'[1]1) Project Information'!$F$17</definedName>
    <definedName name="PerIndHOV">'[1]1) Project Information'!$H$41</definedName>
    <definedName name="PerPeakADT" localSheetId="4">'[2]EmissRates(Cal-B C)'!#REF!</definedName>
    <definedName name="PerPeakADT" localSheetId="9">#REF!</definedName>
    <definedName name="PerPeakADT" localSheetId="11">#REF!</definedName>
    <definedName name="PerPeakADT" localSheetId="6">#REF!</definedName>
    <definedName name="PerPeakADT" localSheetId="7">#REF!</definedName>
    <definedName name="PerPeakADT">#REF!</definedName>
    <definedName name="PerPeakAvgHr" localSheetId="4">'[2]EmissRates(Cal-B C)'!#REF!</definedName>
    <definedName name="PerPeakAvgHr" localSheetId="9">#REF!</definedName>
    <definedName name="PerPeakAvgHr" localSheetId="11">#REF!</definedName>
    <definedName name="PerPeakAvgHr" localSheetId="6">#REF!</definedName>
    <definedName name="PerPeakAvgHr" localSheetId="7">#REF!</definedName>
    <definedName name="PerPeakAvgHr">#REF!</definedName>
    <definedName name="PerPeakTable" localSheetId="4">'[2]EmissRates(Cal-B C)'!#REF!</definedName>
    <definedName name="PerPeakTable" localSheetId="9">#REF!</definedName>
    <definedName name="PerPeakTable" localSheetId="11">#REF!</definedName>
    <definedName name="PerPeakTable" localSheetId="6">#REF!</definedName>
    <definedName name="PerPeakTable" localSheetId="7">#REF!</definedName>
    <definedName name="PerPeakTable">#REF!</definedName>
    <definedName name="PerTruckB">'[1]1) Project Information'!$H$43</definedName>
    <definedName name="PerTruckNB">'[1]1) Project Information'!$G$43</definedName>
    <definedName name="PerWeaveB">'[1]1) Project Information'!$H$42</definedName>
    <definedName name="PerWeaveNB">'[1]1) Project Information'!$G$42</definedName>
    <definedName name="PFatStAvgB">'[1]1) Project Information'!$Q$20</definedName>
    <definedName name="PFatStAvgNB">'[1]1) Project Information'!$P$20</definedName>
    <definedName name="PHS1B">'[1]2) Model Inputs'!$I$53</definedName>
    <definedName name="PHS1NB">'[1]2) Model Inputs'!$I$13</definedName>
    <definedName name="PHS20B">'[1]2) Model Inputs'!$I$72</definedName>
    <definedName name="PHS20NB">'[1]2) Model Inputs'!$I$32</definedName>
    <definedName name="PHV1B">'[1]2) Model Inputs'!$I$49</definedName>
    <definedName name="PHV1NB">'[1]2) Model Inputs'!$I$9</definedName>
    <definedName name="PHV20B">'[1]2) Model Inputs'!$I$68</definedName>
    <definedName name="PHV20NB">'[1]2) Model Inputs'!$I$28</definedName>
    <definedName name="PInjStAvgB">'[1]1) Project Information'!$Q$21</definedName>
    <definedName name="PInjStAvgNB">'[1]1) Project Information'!$P$21</definedName>
    <definedName name="PNS1B">'[1]2) Model Inputs'!$I$54</definedName>
    <definedName name="PNS1NB">'[1]2) Model Inputs'!$I$14</definedName>
    <definedName name="PNS20B">'[1]2) Model Inputs'!$I$73</definedName>
    <definedName name="PNS20NB">'[1]2) Model Inputs'!$I$33</definedName>
    <definedName name="PNT1Ind">'[1]2) Model Inputs'!$AG$10</definedName>
    <definedName name="PNT20Ind">'[1]2) Model Inputs'!$AG$25</definedName>
    <definedName name="PNV1B">'[1]2) Model Inputs'!$I$50</definedName>
    <definedName name="PNV1NB">'[1]2) Model Inputs'!$I$10</definedName>
    <definedName name="PNV20B">'[1]2) Model Inputs'!$I$69</definedName>
    <definedName name="PNV20NB">'[1]2) Model Inputs'!$I$29</definedName>
    <definedName name="_xlnm.Print_Area" localSheetId="4">#REF!</definedName>
    <definedName name="_xlnm.Print_Area" localSheetId="9">#REF!</definedName>
    <definedName name="_xlnm.Print_Area" localSheetId="11">#REF!</definedName>
    <definedName name="_xlnm.Print_Area" localSheetId="6">#REF!</definedName>
    <definedName name="_xlnm.Print_Area" localSheetId="7">#REF!</definedName>
    <definedName name="_xlnm.Print_Area" localSheetId="15">'VOC '!$B$1:$J$12</definedName>
    <definedName name="_xlnm.Print_Area">#REF!</definedName>
    <definedName name="PRINT_AREA_MI" localSheetId="4">#REF!</definedName>
    <definedName name="PRINT_AREA_MI" localSheetId="9">#REF!</definedName>
    <definedName name="PRINT_AREA_MI" localSheetId="11">#REF!</definedName>
    <definedName name="PRINT_AREA_MI" localSheetId="6">#REF!</definedName>
    <definedName name="PRINT_AREA_MI" localSheetId="7">#REF!</definedName>
    <definedName name="PRINT_AREA_MI">#REF!</definedName>
    <definedName name="PROGAWS" localSheetId="9">'[6]Moving Cooler unit impacts'!#REF!</definedName>
    <definedName name="PROGAWS" localSheetId="11">'[6]Moving Cooler unit impacts'!#REF!</definedName>
    <definedName name="PROGAWS" localSheetId="7">'[6]Moving Cooler unit impacts'!#REF!</definedName>
    <definedName name="PROGAWS">'[6]Moving Cooler unit impacts'!#REF!</definedName>
    <definedName name="ProjLoc">'[1]1) Project Information'!$H$12</definedName>
    <definedName name="ProjName">'[1]1) Project Information'!$E$4</definedName>
    <definedName name="ProjType">'[1]1) Project Information'!$F$10</definedName>
    <definedName name="ProjTypeList" localSheetId="4">'[2]EmissRates(Cal-B C)'!#REF!</definedName>
    <definedName name="ProjTypeList" localSheetId="9">#REF!</definedName>
    <definedName name="ProjTypeList" localSheetId="11">#REF!</definedName>
    <definedName name="ProjTypeList" localSheetId="6">#REF!</definedName>
    <definedName name="ProjTypeList" localSheetId="7">#REF!</definedName>
    <definedName name="ProjTypeList">#REF!</definedName>
    <definedName name="PRS1B">'[1]2) Model Inputs'!$U$67</definedName>
    <definedName name="PRS1NB">'[1]2) Model Inputs'!$U$53</definedName>
    <definedName name="PRS20B">'[1]2) Model Inputs'!$U$73</definedName>
    <definedName name="PRS20NB">'[1]2) Model Inputs'!$U$59</definedName>
    <definedName name="PRV1B">'[1]2) Model Inputs'!$U$65</definedName>
    <definedName name="PRV1NB">'[1]2) Model Inputs'!$U$51</definedName>
    <definedName name="PRV20B">'[1]2) Model Inputs'!$U$71</definedName>
    <definedName name="PRV20NB">'[1]2) Model Inputs'!$U$57</definedName>
    <definedName name="PTS1B">'[1]2) Model Inputs'!$I$56</definedName>
    <definedName name="PTS1NB">'[1]2) Model Inputs'!$I$16</definedName>
    <definedName name="PTS20B">'[1]2) Model Inputs'!$I$75</definedName>
    <definedName name="PTS20NB">'[1]2) Model Inputs'!$I$35</definedName>
    <definedName name="PTT1Ind">'[1]2) Model Inputs'!$AG$11</definedName>
    <definedName name="PTT20Ind">'[1]2) Model Inputs'!$AG$26</definedName>
    <definedName name="PTV1B">'[1]2) Model Inputs'!$I$52</definedName>
    <definedName name="PTV1NB">'[1]2) Model Inputs'!$I$12</definedName>
    <definedName name="PTV20B">'[1]2) Model Inputs'!$I$71</definedName>
    <definedName name="PTV20NB">'[1]2) Model Inputs'!$I$31</definedName>
    <definedName name="PWS1B">'[1]2) Model Inputs'!$I$55</definedName>
    <definedName name="PWS1NB">'[1]2) Model Inputs'!$I$15</definedName>
    <definedName name="PWS20B">'[1]2) Model Inputs'!$I$74</definedName>
    <definedName name="PWS20NB">'[1]2) Model Inputs'!$I$34</definedName>
    <definedName name="PWV1B">'[1]2) Model Inputs'!$I$51</definedName>
    <definedName name="PWV1NB">'[1]2) Model Inputs'!$I$11</definedName>
    <definedName name="PWV20B">'[1]2) Model Inputs'!$I$70</definedName>
    <definedName name="PWV20NB">'[1]2) Model Inputs'!$I$30</definedName>
    <definedName name="Queuing" localSheetId="4">'[2]EmissRates(Cal-B C)'!#REF!</definedName>
    <definedName name="Queuing" localSheetId="9">#REF!</definedName>
    <definedName name="Queuing" localSheetId="11">#REF!</definedName>
    <definedName name="Queuing" localSheetId="6">#REF!</definedName>
    <definedName name="Queuing" localSheetId="7">#REF!</definedName>
    <definedName name="Queuing">#REF!</definedName>
    <definedName name="RADataAvail">'[1]2) Model Inputs'!$T$40</definedName>
    <definedName name="RailFatCost" localSheetId="4">'[2]EmissRates(Cal-B C)'!#REF!</definedName>
    <definedName name="RailFatCost" localSheetId="9">#REF!</definedName>
    <definedName name="RailFatCost" localSheetId="11">#REF!</definedName>
    <definedName name="RailFatCost" localSheetId="6">#REF!</definedName>
    <definedName name="RailFatCost" localSheetId="7">#REF!</definedName>
    <definedName name="RailFatCost">#REF!</definedName>
    <definedName name="RailGradeFatRate" localSheetId="4">'[2]EmissRates(Cal-B C)'!#REF!</definedName>
    <definedName name="RailGradeFatRate" localSheetId="9">#REF!</definedName>
    <definedName name="RailGradeFatRate" localSheetId="11">#REF!</definedName>
    <definedName name="RailGradeFatRate" localSheetId="6">#REF!</definedName>
    <definedName name="RailGradeFatRate" localSheetId="7">#REF!</definedName>
    <definedName name="RailGradeFatRate">#REF!</definedName>
    <definedName name="RailGradeInjRate" localSheetId="4">'[2]EmissRates(Cal-B C)'!#REF!</definedName>
    <definedName name="RailGradeInjRate" localSheetId="9">#REF!</definedName>
    <definedName name="RailGradeInjRate" localSheetId="11">#REF!</definedName>
    <definedName name="RailGradeInjRate" localSheetId="6">#REF!</definedName>
    <definedName name="RailGradeInjRate" localSheetId="7">#REF!</definedName>
    <definedName name="RailGradeInjRate">#REF!</definedName>
    <definedName name="RailInjCost" localSheetId="4">'[2]EmissRates(Cal-B C)'!#REF!</definedName>
    <definedName name="RailInjCost" localSheetId="9">#REF!</definedName>
    <definedName name="RailInjCost" localSheetId="11">#REF!</definedName>
    <definedName name="RailInjCost" localSheetId="6">#REF!</definedName>
    <definedName name="RailInjCost" localSheetId="7">#REF!</definedName>
    <definedName name="RailInjCost">#REF!</definedName>
    <definedName name="RampFFSpdB">'[1]1) Project Information'!$H$31</definedName>
    <definedName name="RampFFSpdNB">'[1]1) Project Information'!$G$31</definedName>
    <definedName name="RampVolNP">'[1]1) Project Information'!$H$47</definedName>
    <definedName name="RampVolP">'[1]1) Project Information'!$G$47</definedName>
    <definedName name="ReturnOnInvest">'[1]Final Calculations'!$AM$54</definedName>
    <definedName name="RM" localSheetId="4">'[2]EmissRates(Cal-B C)'!#REF!</definedName>
    <definedName name="RM" localSheetId="9">#REF!</definedName>
    <definedName name="RM" localSheetId="11">#REF!</definedName>
    <definedName name="RM" localSheetId="6">#REF!</definedName>
    <definedName name="RM" localSheetId="7">#REF!</definedName>
    <definedName name="RM">#REF!</definedName>
    <definedName name="RoadTypeB">'[1]1) Project Information'!$H$24</definedName>
    <definedName name="RoadTypeNB">'[1]1) Project Information'!$G$24</definedName>
    <definedName name="SalesTaxDieselState" localSheetId="4">'[2]EmissRates(Cal-B C)'!#REF!</definedName>
    <definedName name="SalesTaxDieselState" localSheetId="9">#REF!</definedName>
    <definedName name="SalesTaxDieselState" localSheetId="11">#REF!</definedName>
    <definedName name="SalesTaxDieselState" localSheetId="6">#REF!</definedName>
    <definedName name="SalesTaxDieselState" localSheetId="7">#REF!</definedName>
    <definedName name="SalesTaxDieselState">#REF!</definedName>
    <definedName name="SalesTaxGasState" localSheetId="4">'[2]EmissRates(Cal-B C)'!#REF!</definedName>
    <definedName name="SalesTaxGasState" localSheetId="9">#REF!</definedName>
    <definedName name="SalesTaxGasState" localSheetId="11">#REF!</definedName>
    <definedName name="SalesTaxGasState" localSheetId="6">#REF!</definedName>
    <definedName name="SalesTaxGasState" localSheetId="7">#REF!</definedName>
    <definedName name="SalesTaxGasState">#REF!</definedName>
    <definedName name="SalesTaxLocal" localSheetId="4">'[2]EmissRates(Cal-B C)'!#REF!</definedName>
    <definedName name="SalesTaxLocal" localSheetId="9">#REF!</definedName>
    <definedName name="SalesTaxLocal" localSheetId="11">#REF!</definedName>
    <definedName name="SalesTaxLocal" localSheetId="6">#REF!</definedName>
    <definedName name="SalesTaxLocal" localSheetId="7">#REF!</definedName>
    <definedName name="SalesTaxLocal">#REF!</definedName>
    <definedName name="Scenarios">[7]UserAssumptions!$C$2:$C$4</definedName>
    <definedName name="SCOPE">[3]Inputs!$I$34</definedName>
    <definedName name="SCOPETBL">[3]Defaults!$AS$223:$AT$224</definedName>
    <definedName name="SegmentA">'[1]2) Model Inputs'!$T$44</definedName>
    <definedName name="SegmentB">'[1]1) Project Information'!$H$32</definedName>
    <definedName name="SegmentNB">'[1]1) Project Information'!$G$32</definedName>
    <definedName name="SegmentR">'[1]2) Model Inputs'!$T$43</definedName>
    <definedName name="SHIFTPER">[3]Defaults!$K$103:$K$109</definedName>
    <definedName name="SigPriority" localSheetId="4">'[2]EmissRates(Cal-B C)'!#REF!</definedName>
    <definedName name="SigPriority" localSheetId="9">#REF!</definedName>
    <definedName name="SigPriority" localSheetId="11">#REF!</definedName>
    <definedName name="SigPriority" localSheetId="6">#REF!</definedName>
    <definedName name="SigPriority" localSheetId="7">#REF!</definedName>
    <definedName name="SigPriority">#REF!</definedName>
    <definedName name="SigTTsaving" localSheetId="4">'[2]EmissRates(Cal-B C)'!#REF!</definedName>
    <definedName name="SigTTsaving" localSheetId="9">#REF!</definedName>
    <definedName name="SigTTsaving" localSheetId="11">#REF!</definedName>
    <definedName name="SigTTsaving" localSheetId="6">#REF!</definedName>
    <definedName name="SigTTsaving" localSheetId="7">#REF!</definedName>
    <definedName name="SigTTsaving">#REF!</definedName>
    <definedName name="singleStack">'[5]Tunnel Capacity'!$C$5</definedName>
    <definedName name="SpeedPavAdj" localSheetId="4">'[2]EmissRates(Cal-B C)'!#REF!</definedName>
    <definedName name="SpeedPavAdj" localSheetId="9">#REF!</definedName>
    <definedName name="SpeedPavAdj" localSheetId="11">#REF!</definedName>
    <definedName name="SpeedPavAdj" localSheetId="6">#REF!</definedName>
    <definedName name="SpeedPavAdj" localSheetId="7">#REF!</definedName>
    <definedName name="SpeedPavAdj">#REF!</definedName>
    <definedName name="SpeedWeaveAdj" localSheetId="4">'[2]EmissRates(Cal-B C)'!#REF!</definedName>
    <definedName name="SpeedWeaveAdj" localSheetId="9">#REF!</definedName>
    <definedName name="SpeedWeaveAdj" localSheetId="11">#REF!</definedName>
    <definedName name="SpeedWeaveAdj" localSheetId="6">#REF!</definedName>
    <definedName name="SpeedWeaveAdj" localSheetId="7">#REF!</definedName>
    <definedName name="SpeedWeaveAdj">#REF!</definedName>
    <definedName name="StateFatRate" localSheetId="4">'[2]EmissRates(Cal-B C)'!#REF!</definedName>
    <definedName name="StateFatRate" localSheetId="9">#REF!</definedName>
    <definedName name="StateFatRate" localSheetId="11">#REF!</definedName>
    <definedName name="StateFatRate" localSheetId="6">#REF!</definedName>
    <definedName name="StateFatRate" localSheetId="7">#REF!</definedName>
    <definedName name="StateFatRate">#REF!</definedName>
    <definedName name="StateInjRate" localSheetId="4">'[2]EmissRates(Cal-B C)'!#REF!</definedName>
    <definedName name="StateInjRate" localSheetId="9">#REF!</definedName>
    <definedName name="StateInjRate" localSheetId="11">#REF!</definedName>
    <definedName name="StateInjRate" localSheetId="6">#REF!</definedName>
    <definedName name="StateInjRate" localSheetId="7">#REF!</definedName>
    <definedName name="StateInjRate">#REF!</definedName>
    <definedName name="StatePDORate" localSheetId="4">'[2]EmissRates(Cal-B C)'!#REF!</definedName>
    <definedName name="StatePDORate" localSheetId="9">#REF!</definedName>
    <definedName name="StatePDORate" localSheetId="11">#REF!</definedName>
    <definedName name="StatePDORate" localSheetId="6">#REF!</definedName>
    <definedName name="StatePDORate" localSheetId="7">#REF!</definedName>
    <definedName name="StatePDORate">#REF!</definedName>
    <definedName name="TAccReductPer">'[1]1) Project Information'!$P$39</definedName>
    <definedName name="TAPT1B">'[1]1) Project Information'!$Q$28</definedName>
    <definedName name="TAPT1NB">'[1]1) Project Information'!$P$28</definedName>
    <definedName name="TAPT20B">'[1]1) Project Information'!$Q$29</definedName>
    <definedName name="TAPT20NB">'[1]1) Project Information'!$P$29</definedName>
    <definedName name="TCapCostB">'[1]1) Project Information'!$Q$52</definedName>
    <definedName name="TCapCostNB">'[1]1) Project Information'!$P$52</definedName>
    <definedName name="TI" localSheetId="4">'[2]EmissRates(Cal-B C)'!#REF!</definedName>
    <definedName name="TI" localSheetId="9">#REF!</definedName>
    <definedName name="TI" localSheetId="11">#REF!</definedName>
    <definedName name="TI" localSheetId="6">#REF!</definedName>
    <definedName name="TI" localSheetId="7">#REF!</definedName>
    <definedName name="TI">#REF!</definedName>
    <definedName name="TInTimeBN">'[1]1) Project Information'!$Q$42</definedName>
    <definedName name="TInTimeBP">'[1]1) Project Information'!$Q$43</definedName>
    <definedName name="TInTimeNBN">'[1]1) Project Information'!$P$42</definedName>
    <definedName name="TInTimeNBP">'[1]1) Project Information'!$P$43</definedName>
    <definedName name="TMSAdj" localSheetId="4">'[2]EmissRates(Cal-B C)'!#REF!</definedName>
    <definedName name="TMSAdj" localSheetId="9">#REF!</definedName>
    <definedName name="TMSAdj" localSheetId="11">#REF!</definedName>
    <definedName name="TMSAdj" localSheetId="6">#REF!</definedName>
    <definedName name="TMSAdj" localSheetId="7">#REF!</definedName>
    <definedName name="TMSAdj">#REF!</definedName>
    <definedName name="TMSLookup" localSheetId="4">'[2]EmissRates(Cal-B C)'!#REF!</definedName>
    <definedName name="TMSLookup" localSheetId="9">#REF!</definedName>
    <definedName name="TMSLookup" localSheetId="11">#REF!</definedName>
    <definedName name="TMSLookup" localSheetId="6">#REF!</definedName>
    <definedName name="TMSLookup" localSheetId="7">#REF!</definedName>
    <definedName name="TMSLookup">#REF!</definedName>
    <definedName name="TOMCostB">'[1]1) Project Information'!$Q$53</definedName>
    <definedName name="TOMCostNB">'[1]1) Project Information'!$P$53</definedName>
    <definedName name="TOutTimeBN">'[1]1) Project Information'!$Q$44</definedName>
    <definedName name="TOutTimeBP">'[1]1) Project Information'!$Q$45</definedName>
    <definedName name="TOutTimeNBN">'[1]1) Project Information'!$P$44</definedName>
    <definedName name="TOutTimeNBP">'[1]1) Project Information'!$P$45</definedName>
    <definedName name="TPerHwy">'[1]1) Project Information'!$Q$31</definedName>
    <definedName name="TPerPeak">'[1]1) Project Information'!$P$30</definedName>
    <definedName name="TRIP1">[3]TravCalcs!$N$49</definedName>
    <definedName name="TRIP1O">[3]TravCalcs!$N$56</definedName>
    <definedName name="TRIP1P">[3]TravCalcs!$N$55</definedName>
    <definedName name="TRIP2">[3]TravCalcs!$O$49</definedName>
    <definedName name="TRIP2O">[3]TravCalcs!$O$56</definedName>
    <definedName name="TRIP2P">[3]TravCalcs!$O$55</definedName>
    <definedName name="TruckSpeed">'[1]1) Project Information'!$G$44</definedName>
    <definedName name="TTUprater" localSheetId="4">'[2]EmissRates(Cal-B C)'!#REF!</definedName>
    <definedName name="TTUprater" localSheetId="9">#REF!</definedName>
    <definedName name="TTUprater" localSheetId="11">#REF!</definedName>
    <definedName name="TTUprater" localSheetId="6">#REF!</definedName>
    <definedName name="TTUprater" localSheetId="7">#REF!</definedName>
    <definedName name="TTUprater">#REF!</definedName>
    <definedName name="TVehMi1B">'[1]1) Project Information'!$Q$34</definedName>
    <definedName name="TVehMi1NB">'[1]1) Project Information'!$P$34</definedName>
    <definedName name="TVehMi20B">'[1]1) Project Information'!$Q$35</definedName>
    <definedName name="TVehMi20NB">'[1]1) Project Information'!$P$35</definedName>
    <definedName name="TVehPerTrainB">'[1]1) Project Information'!$Q$36</definedName>
    <definedName name="TVehPerTrainNB">'[1]1) Project Information'!$P$36</definedName>
    <definedName name="UEFFILE">[3]Inputs!$I$21</definedName>
    <definedName name="UserAdjInputs" localSheetId="4">'[2]EmissRates(Cal-B C)'!#REF!</definedName>
    <definedName name="UserAdjInputs" localSheetId="9">#REF!</definedName>
    <definedName name="UserAdjInputs" localSheetId="11">#REF!</definedName>
    <definedName name="UserAdjInputs" localSheetId="6">#REF!</definedName>
    <definedName name="UserAdjInputs" localSheetId="7">#REF!</definedName>
    <definedName name="UserAdjInputs">#REF!</definedName>
    <definedName name="ValTimeAuto" localSheetId="4">'[2]EmissRates(Cal-B C)'!#REF!</definedName>
    <definedName name="ValTimeAuto" localSheetId="9">#REF!</definedName>
    <definedName name="ValTimeAuto" localSheetId="11">#REF!</definedName>
    <definedName name="ValTimeAuto" localSheetId="6">#REF!</definedName>
    <definedName name="ValTimeAuto" localSheetId="7">#REF!</definedName>
    <definedName name="ValTimeAuto">#REF!</definedName>
    <definedName name="ValTimeIMFactor" localSheetId="4">'[2]EmissRates(Cal-B C)'!#REF!</definedName>
    <definedName name="ValTimeIMFactor" localSheetId="9">#REF!</definedName>
    <definedName name="ValTimeIMFactor" localSheetId="11">#REF!</definedName>
    <definedName name="ValTimeIMFactor" localSheetId="6">#REF!</definedName>
    <definedName name="ValTimeIMFactor" localSheetId="7">#REF!</definedName>
    <definedName name="ValTimeIMFactor">#REF!</definedName>
    <definedName name="ValTimeOVFactor" localSheetId="4">'[2]EmissRates(Cal-B C)'!#REF!</definedName>
    <definedName name="ValTimeOVFactor" localSheetId="9">#REF!</definedName>
    <definedName name="ValTimeOVFactor" localSheetId="11">#REF!</definedName>
    <definedName name="ValTimeOVFactor" localSheetId="6">#REF!</definedName>
    <definedName name="ValTimeOVFactor" localSheetId="7">#REF!</definedName>
    <definedName name="ValTimeOVFactor">#REF!</definedName>
    <definedName name="ValTimeTransit" localSheetId="4">'[2]EmissRates(Cal-B C)'!#REF!</definedName>
    <definedName name="ValTimeTransit" localSheetId="9">#REF!</definedName>
    <definedName name="ValTimeTransit" localSheetId="11">#REF!</definedName>
    <definedName name="ValTimeTransit" localSheetId="6">#REF!</definedName>
    <definedName name="ValTimeTransit" localSheetId="7">#REF!</definedName>
    <definedName name="ValTimeTransit">#REF!</definedName>
    <definedName name="ValTimeTruck" localSheetId="4">'[2]EmissRates(Cal-B C)'!#REF!</definedName>
    <definedName name="ValTimeTruck" localSheetId="9">#REF!</definedName>
    <definedName name="ValTimeTruck" localSheetId="11">#REF!</definedName>
    <definedName name="ValTimeTruck" localSheetId="6">#REF!</definedName>
    <definedName name="ValTimeTruck" localSheetId="7">#REF!</definedName>
    <definedName name="ValTimeTruck">#REF!</definedName>
    <definedName name="ValueUpdate" localSheetId="4">'[2]EmissRates(Cal-B C)'!#REF!</definedName>
    <definedName name="ValueUpdate" localSheetId="9">#REF!</definedName>
    <definedName name="ValueUpdate" localSheetId="11">#REF!</definedName>
    <definedName name="ValueUpdate" localSheetId="6">#REF!</definedName>
    <definedName name="ValueUpdate" localSheetId="7">#REF!</definedName>
    <definedName name="ValueUpdate">#REF!</definedName>
    <definedName name="VehOp">'[1]3) Results'!$M$32</definedName>
    <definedName name="WageStatewide" localSheetId="4">'[2]EmissRates(Cal-B C)'!#REF!</definedName>
    <definedName name="WageStatewide" localSheetId="9">#REF!</definedName>
    <definedName name="WageStatewide" localSheetId="11">#REF!</definedName>
    <definedName name="WageStatewide" localSheetId="6">#REF!</definedName>
    <definedName name="WageStatewide" localSheetId="7">#REF!</definedName>
    <definedName name="WageStatewide">#REF!</definedName>
    <definedName name="WageTruck" localSheetId="4">'[2]EmissRates(Cal-B C)'!#REF!</definedName>
    <definedName name="WageTruck" localSheetId="9">#REF!</definedName>
    <definedName name="WageTruck" localSheetId="11">#REF!</definedName>
    <definedName name="WageTruck" localSheetId="6">#REF!</definedName>
    <definedName name="WageTruck" localSheetId="7">#REF!</definedName>
    <definedName name="WageTruck">#REF!</definedName>
  </definedNames>
  <calcPr calcId="152511"/>
</workbook>
</file>

<file path=xl/calcChain.xml><?xml version="1.0" encoding="utf-8"?>
<calcChain xmlns="http://schemas.openxmlformats.org/spreadsheetml/2006/main">
  <c r="C237" i="52" l="1"/>
  <c r="E13" i="73"/>
  <c r="G7" i="73"/>
  <c r="J333" i="52"/>
  <c r="I333" i="52"/>
  <c r="D292" i="52"/>
  <c r="E292" i="52"/>
  <c r="E333" i="52"/>
  <c r="C292" i="52"/>
  <c r="G58" i="83" l="1"/>
  <c r="J33" i="67"/>
  <c r="J34" i="67" s="1"/>
  <c r="J35" i="67" s="1"/>
  <c r="J36" i="67" s="1"/>
  <c r="J37" i="67" s="1"/>
  <c r="J38" i="67" s="1"/>
  <c r="J39" i="67" s="1"/>
  <c r="J40" i="67" s="1"/>
  <c r="J41" i="67" s="1"/>
  <c r="J42" i="67" s="1"/>
  <c r="J43" i="67" s="1"/>
  <c r="J44" i="67" s="1"/>
  <c r="J45" i="67" s="1"/>
  <c r="J46" i="67" s="1"/>
  <c r="J47" i="67" s="1"/>
  <c r="J48" i="67" s="1"/>
  <c r="J49" i="67" s="1"/>
  <c r="J50" i="67" s="1"/>
  <c r="J51" i="67" s="1"/>
  <c r="J52" i="67" s="1"/>
  <c r="K32" i="67"/>
  <c r="K33" i="67" s="1"/>
  <c r="K34" i="67" s="1"/>
  <c r="K35" i="67" s="1"/>
  <c r="K36" i="67" s="1"/>
  <c r="K37" i="67" s="1"/>
  <c r="K38" i="67" s="1"/>
  <c r="K39" i="67" s="1"/>
  <c r="K40" i="67" s="1"/>
  <c r="K41" i="67" s="1"/>
  <c r="K42" i="67" s="1"/>
  <c r="K43" i="67" s="1"/>
  <c r="K44" i="67" s="1"/>
  <c r="K45" i="67" s="1"/>
  <c r="K46" i="67" s="1"/>
  <c r="K47" i="67" s="1"/>
  <c r="K48" i="67" s="1"/>
  <c r="K49" i="67" s="1"/>
  <c r="K50" i="67" s="1"/>
  <c r="K51" i="67" s="1"/>
  <c r="K52" i="67" s="1"/>
  <c r="J32" i="67"/>
  <c r="C58" i="83"/>
  <c r="F58" i="83" s="1"/>
  <c r="K4" i="67"/>
  <c r="K5" i="67" s="1"/>
  <c r="K6" i="67" s="1"/>
  <c r="K7" i="67" s="1"/>
  <c r="K8" i="67" s="1"/>
  <c r="K9" i="67" s="1"/>
  <c r="K10" i="67" s="1"/>
  <c r="K11" i="67" s="1"/>
  <c r="K12" i="67" s="1"/>
  <c r="K13" i="67" s="1"/>
  <c r="K14" i="67" s="1"/>
  <c r="K15" i="67" s="1"/>
  <c r="K16" i="67" s="1"/>
  <c r="K17" i="67" s="1"/>
  <c r="K18" i="67" s="1"/>
  <c r="K19" i="67" s="1"/>
  <c r="K20" i="67" s="1"/>
  <c r="K21" i="67" s="1"/>
  <c r="K22" i="67" s="1"/>
  <c r="K23" i="67" s="1"/>
  <c r="K24" i="67" s="1"/>
  <c r="K25" i="67" s="1"/>
  <c r="K26" i="67" s="1"/>
  <c r="K27" i="67" s="1"/>
  <c r="K28" i="67" s="1"/>
  <c r="K29" i="67" s="1"/>
  <c r="K30" i="67" s="1"/>
  <c r="J4" i="67"/>
  <c r="J5" i="67" s="1"/>
  <c r="J6" i="67" s="1"/>
  <c r="J7" i="67" s="1"/>
  <c r="J8" i="67" s="1"/>
  <c r="J9" i="67" s="1"/>
  <c r="J10" i="67" s="1"/>
  <c r="J11" i="67" s="1"/>
  <c r="J12" i="67" s="1"/>
  <c r="J13" i="67" s="1"/>
  <c r="J14" i="67" s="1"/>
  <c r="J15" i="67" s="1"/>
  <c r="J16" i="67" s="1"/>
  <c r="J17" i="67" s="1"/>
  <c r="J18" i="67" s="1"/>
  <c r="J19" i="67" s="1"/>
  <c r="J20" i="67" s="1"/>
  <c r="J21" i="67" s="1"/>
  <c r="J22" i="67" s="1"/>
  <c r="J23" i="67" s="1"/>
  <c r="J24" i="67" s="1"/>
  <c r="J25" i="67" s="1"/>
  <c r="J26" i="67" s="1"/>
  <c r="J27" i="67" s="1"/>
  <c r="J28" i="67" s="1"/>
  <c r="J29" i="67" s="1"/>
  <c r="J30" i="67" s="1"/>
  <c r="H20" i="67"/>
  <c r="K31" i="67"/>
  <c r="J31" i="67"/>
  <c r="M3" i="67"/>
  <c r="L3" i="67"/>
  <c r="K3" i="67"/>
  <c r="J3" i="67"/>
  <c r="C20" i="2"/>
  <c r="C19" i="2"/>
  <c r="C16" i="2"/>
  <c r="C15" i="2"/>
  <c r="E44" i="88"/>
  <c r="D44" i="88"/>
  <c r="C44" i="88"/>
  <c r="F44" i="88" s="1"/>
  <c r="E43" i="88"/>
  <c r="D43" i="88"/>
  <c r="C43" i="88"/>
  <c r="E21" i="88"/>
  <c r="D21" i="88"/>
  <c r="C21" i="88"/>
  <c r="E20" i="88"/>
  <c r="D20" i="88"/>
  <c r="C20" i="88"/>
  <c r="F20" i="88" s="1"/>
  <c r="C22" i="73"/>
  <c r="C23" i="73"/>
  <c r="C7" i="75"/>
  <c r="C6" i="75"/>
  <c r="I39" i="49"/>
  <c r="I38" i="49"/>
  <c r="H39" i="49"/>
  <c r="G39" i="49"/>
  <c r="G38" i="49"/>
  <c r="H38" i="49"/>
  <c r="J20" i="87"/>
  <c r="J21" i="87"/>
  <c r="J19" i="87"/>
  <c r="M31" i="67" s="1"/>
  <c r="M4" i="67" l="1"/>
  <c r="M5" i="67" s="1"/>
  <c r="M6" i="67" s="1"/>
  <c r="M7" i="67" s="1"/>
  <c r="M8" i="67" s="1"/>
  <c r="M9" i="67" s="1"/>
  <c r="M10" i="67" s="1"/>
  <c r="M11" i="67" s="1"/>
  <c r="M12" i="67" s="1"/>
  <c r="M13" i="67" s="1"/>
  <c r="M14" i="67" s="1"/>
  <c r="M15" i="67" s="1"/>
  <c r="M16" i="67" s="1"/>
  <c r="M17" i="67" s="1"/>
  <c r="M18" i="67" s="1"/>
  <c r="M19" i="67" s="1"/>
  <c r="M20" i="67" s="1"/>
  <c r="M21" i="67" s="1"/>
  <c r="M22" i="67" s="1"/>
  <c r="M23" i="67" s="1"/>
  <c r="M24" i="67" s="1"/>
  <c r="M25" i="67" s="1"/>
  <c r="M26" i="67" s="1"/>
  <c r="M27" i="67" s="1"/>
  <c r="M28" i="67" s="1"/>
  <c r="M29" i="67" s="1"/>
  <c r="M30" i="67" s="1"/>
  <c r="M32" i="67"/>
  <c r="M33" i="67" s="1"/>
  <c r="M34" i="67" s="1"/>
  <c r="F43" i="88"/>
  <c r="F21" i="88"/>
  <c r="D58" i="83"/>
  <c r="E58" i="83"/>
  <c r="H58" i="83"/>
  <c r="M35" i="67" l="1"/>
  <c r="C31" i="67"/>
  <c r="E31" i="67" s="1"/>
  <c r="B31" i="67"/>
  <c r="D31" i="67" s="1"/>
  <c r="C3" i="67"/>
  <c r="E3" i="67" s="1"/>
  <c r="B3" i="67"/>
  <c r="D3" i="67" s="1"/>
  <c r="I31" i="67"/>
  <c r="G31" i="67"/>
  <c r="F31" i="67"/>
  <c r="G3" i="67"/>
  <c r="I3" i="67" s="1"/>
  <c r="F3" i="67"/>
  <c r="H3" i="67" s="1"/>
  <c r="A9" i="67"/>
  <c r="J18" i="87"/>
  <c r="L31" i="67" s="1"/>
  <c r="I21" i="87"/>
  <c r="I20" i="87"/>
  <c r="I19" i="87"/>
  <c r="I18" i="87"/>
  <c r="I11" i="87"/>
  <c r="I10" i="87"/>
  <c r="I9" i="87"/>
  <c r="I8" i="87"/>
  <c r="H21" i="87"/>
  <c r="H20" i="87"/>
  <c r="H19" i="87"/>
  <c r="H18" i="87"/>
  <c r="H11" i="87"/>
  <c r="H10" i="87"/>
  <c r="H9" i="87"/>
  <c r="H8" i="87"/>
  <c r="I6" i="87"/>
  <c r="I5" i="87"/>
  <c r="I4" i="87"/>
  <c r="I3" i="87"/>
  <c r="H6" i="87"/>
  <c r="H5" i="87"/>
  <c r="H4" i="87"/>
  <c r="H3" i="87"/>
  <c r="C86" i="83" l="1"/>
  <c r="L32" i="67"/>
  <c r="L4" i="67"/>
  <c r="H31" i="67"/>
  <c r="M36" i="67"/>
  <c r="L33" i="67" l="1"/>
  <c r="C87" i="83"/>
  <c r="C59" i="83"/>
  <c r="L5" i="67"/>
  <c r="H86" i="83"/>
  <c r="D86" i="83"/>
  <c r="G86" i="83"/>
  <c r="F86" i="83"/>
  <c r="E86" i="83"/>
  <c r="M37" i="67"/>
  <c r="L6" i="67" l="1"/>
  <c r="C60" i="83"/>
  <c r="D59" i="83"/>
  <c r="E59" i="83"/>
  <c r="H59" i="83"/>
  <c r="G59" i="83"/>
  <c r="F59" i="83"/>
  <c r="D87" i="83"/>
  <c r="E87" i="83"/>
  <c r="G87" i="83"/>
  <c r="H87" i="83"/>
  <c r="F87" i="83"/>
  <c r="L34" i="67"/>
  <c r="C88" i="83"/>
  <c r="M38" i="67"/>
  <c r="G29" i="87"/>
  <c r="F29" i="87"/>
  <c r="E29" i="87"/>
  <c r="D29" i="87"/>
  <c r="G26" i="87"/>
  <c r="F26" i="87"/>
  <c r="E26" i="87"/>
  <c r="D26" i="87"/>
  <c r="G25" i="87"/>
  <c r="F25" i="87"/>
  <c r="E25" i="87"/>
  <c r="D25" i="87"/>
  <c r="G24" i="87"/>
  <c r="F24" i="87"/>
  <c r="E24" i="87"/>
  <c r="D24" i="87"/>
  <c r="G23" i="87"/>
  <c r="F23" i="87"/>
  <c r="E23" i="87"/>
  <c r="D23" i="87"/>
  <c r="G16" i="87"/>
  <c r="F16" i="87"/>
  <c r="E16" i="87"/>
  <c r="D16" i="87"/>
  <c r="G15" i="87"/>
  <c r="F15" i="87"/>
  <c r="E15" i="87"/>
  <c r="D15" i="87"/>
  <c r="G14" i="87"/>
  <c r="F14" i="87"/>
  <c r="E14" i="87"/>
  <c r="D14" i="87"/>
  <c r="G13" i="87"/>
  <c r="F13" i="87"/>
  <c r="E13" i="87"/>
  <c r="D13" i="87"/>
  <c r="E88" i="83" l="1"/>
  <c r="D88" i="83"/>
  <c r="G88" i="83"/>
  <c r="F88" i="83"/>
  <c r="H88" i="83"/>
  <c r="H60" i="83"/>
  <c r="D60" i="83"/>
  <c r="G60" i="83"/>
  <c r="E60" i="83"/>
  <c r="F60" i="83"/>
  <c r="L35" i="67"/>
  <c r="C89" i="83"/>
  <c r="L7" i="67"/>
  <c r="C61" i="83"/>
  <c r="M39" i="67"/>
  <c r="D323" i="52"/>
  <c r="D324" i="52"/>
  <c r="D325" i="52"/>
  <c r="D326" i="52"/>
  <c r="D327" i="52"/>
  <c r="D328" i="52"/>
  <c r="D329" i="52"/>
  <c r="D330" i="52"/>
  <c r="D331" i="52"/>
  <c r="D332" i="52"/>
  <c r="B259" i="52"/>
  <c r="B260" i="52" s="1"/>
  <c r="B261" i="52" s="1"/>
  <c r="B262" i="52" s="1"/>
  <c r="B263" i="52" s="1"/>
  <c r="B264" i="52" s="1"/>
  <c r="B265" i="52" s="1"/>
  <c r="B266" i="52" s="1"/>
  <c r="B267" i="52" s="1"/>
  <c r="B268" i="52" s="1"/>
  <c r="B269" i="52" s="1"/>
  <c r="B270" i="52" s="1"/>
  <c r="B271" i="52" s="1"/>
  <c r="B272" i="52" s="1"/>
  <c r="B273" i="52" s="1"/>
  <c r="B274" i="52" s="1"/>
  <c r="B275" i="52" s="1"/>
  <c r="B276" i="52" s="1"/>
  <c r="B277" i="52" s="1"/>
  <c r="B278" i="52" s="1"/>
  <c r="B279" i="52" s="1"/>
  <c r="B280" i="52" s="1"/>
  <c r="B281" i="52" s="1"/>
  <c r="B282" i="52" s="1"/>
  <c r="B283" i="52" s="1"/>
  <c r="B284" i="52" s="1"/>
  <c r="B285" i="52" s="1"/>
  <c r="B286" i="52" s="1"/>
  <c r="B287" i="52" s="1"/>
  <c r="B288" i="52" s="1"/>
  <c r="B289" i="52" s="1"/>
  <c r="B290" i="52" s="1"/>
  <c r="B291" i="52" s="1"/>
  <c r="C259" i="52"/>
  <c r="C260" i="52"/>
  <c r="C261" i="52"/>
  <c r="C262" i="52"/>
  <c r="C263" i="52"/>
  <c r="C264" i="52"/>
  <c r="C265" i="52"/>
  <c r="C266" i="52"/>
  <c r="C267" i="52"/>
  <c r="C268" i="52"/>
  <c r="C269" i="52"/>
  <c r="C270" i="52"/>
  <c r="C271" i="52"/>
  <c r="C272" i="52"/>
  <c r="C273" i="52"/>
  <c r="C274" i="52"/>
  <c r="C275" i="52"/>
  <c r="C276" i="52"/>
  <c r="C277" i="52"/>
  <c r="C278" i="52"/>
  <c r="C279" i="52"/>
  <c r="C280" i="52"/>
  <c r="C281" i="52"/>
  <c r="C282" i="52"/>
  <c r="C283" i="52"/>
  <c r="C284" i="52"/>
  <c r="C285" i="52"/>
  <c r="C286" i="52"/>
  <c r="C287" i="52"/>
  <c r="C288" i="52"/>
  <c r="C289" i="52"/>
  <c r="C290" i="52"/>
  <c r="C291" i="52"/>
  <c r="M39" i="79"/>
  <c r="M40" i="79" s="1"/>
  <c r="M41" i="79" s="1"/>
  <c r="M42" i="79" s="1"/>
  <c r="M43" i="79" s="1"/>
  <c r="M44" i="79" s="1"/>
  <c r="M45" i="79" s="1"/>
  <c r="M46" i="79" s="1"/>
  <c r="M47" i="79" s="1"/>
  <c r="M48" i="79" s="1"/>
  <c r="M49" i="79" s="1"/>
  <c r="M50" i="79" s="1"/>
  <c r="M51" i="79" s="1"/>
  <c r="M52" i="79" s="1"/>
  <c r="M53" i="79" s="1"/>
  <c r="M54" i="79" s="1"/>
  <c r="M55" i="79" s="1"/>
  <c r="M56" i="79" s="1"/>
  <c r="M57" i="79" s="1"/>
  <c r="M58" i="79" s="1"/>
  <c r="M59" i="79" s="1"/>
  <c r="M60" i="79" s="1"/>
  <c r="L39" i="79"/>
  <c r="L40" i="79" s="1"/>
  <c r="L41" i="79" s="1"/>
  <c r="L42" i="79" s="1"/>
  <c r="L43" i="79" s="1"/>
  <c r="L44" i="79" s="1"/>
  <c r="L45" i="79" s="1"/>
  <c r="L46" i="79" s="1"/>
  <c r="L47" i="79" s="1"/>
  <c r="L48" i="79" s="1"/>
  <c r="L49" i="79" s="1"/>
  <c r="L50" i="79" s="1"/>
  <c r="L51" i="79" s="1"/>
  <c r="L52" i="79" s="1"/>
  <c r="L53" i="79" s="1"/>
  <c r="L54" i="79" s="1"/>
  <c r="L55" i="79" s="1"/>
  <c r="L56" i="79" s="1"/>
  <c r="L57" i="79" s="1"/>
  <c r="L58" i="79" s="1"/>
  <c r="L59" i="79" s="1"/>
  <c r="L60" i="79" s="1"/>
  <c r="K39" i="79"/>
  <c r="K40" i="79" s="1"/>
  <c r="K41" i="79" s="1"/>
  <c r="K42" i="79" s="1"/>
  <c r="K43" i="79" s="1"/>
  <c r="K44" i="79" s="1"/>
  <c r="K45" i="79" s="1"/>
  <c r="K46" i="79" s="1"/>
  <c r="K47" i="79" s="1"/>
  <c r="K48" i="79" s="1"/>
  <c r="K49" i="79" s="1"/>
  <c r="K50" i="79" s="1"/>
  <c r="K51" i="79" s="1"/>
  <c r="K52" i="79" s="1"/>
  <c r="K53" i="79" s="1"/>
  <c r="K54" i="79" s="1"/>
  <c r="K55" i="79" s="1"/>
  <c r="K56" i="79" s="1"/>
  <c r="K57" i="79" s="1"/>
  <c r="K58" i="79" s="1"/>
  <c r="K59" i="79" s="1"/>
  <c r="K60" i="79" s="1"/>
  <c r="J39" i="79"/>
  <c r="J40" i="79" s="1"/>
  <c r="J41" i="79" s="1"/>
  <c r="J42" i="79" s="1"/>
  <c r="J43" i="79" s="1"/>
  <c r="J44" i="79" s="1"/>
  <c r="J45" i="79" s="1"/>
  <c r="J46" i="79" s="1"/>
  <c r="J47" i="79" s="1"/>
  <c r="J48" i="79" s="1"/>
  <c r="J49" i="79" s="1"/>
  <c r="J50" i="79" s="1"/>
  <c r="J51" i="79" s="1"/>
  <c r="J52" i="79" s="1"/>
  <c r="J53" i="79" s="1"/>
  <c r="J54" i="79" s="1"/>
  <c r="J55" i="79" s="1"/>
  <c r="J56" i="79" s="1"/>
  <c r="J57" i="79" s="1"/>
  <c r="J58" i="79" s="1"/>
  <c r="J59" i="79" s="1"/>
  <c r="J60" i="79" s="1"/>
  <c r="I39" i="79"/>
  <c r="I40" i="79" s="1"/>
  <c r="I41" i="79" s="1"/>
  <c r="I42" i="79" s="1"/>
  <c r="I43" i="79" s="1"/>
  <c r="I44" i="79" s="1"/>
  <c r="I45" i="79" s="1"/>
  <c r="I46" i="79" s="1"/>
  <c r="I47" i="79" s="1"/>
  <c r="I48" i="79" s="1"/>
  <c r="I49" i="79" s="1"/>
  <c r="I50" i="79" s="1"/>
  <c r="I51" i="79" s="1"/>
  <c r="I52" i="79" s="1"/>
  <c r="I53" i="79" s="1"/>
  <c r="I54" i="79" s="1"/>
  <c r="I55" i="79" s="1"/>
  <c r="I56" i="79" s="1"/>
  <c r="I57" i="79" s="1"/>
  <c r="I58" i="79" s="1"/>
  <c r="I59" i="79" s="1"/>
  <c r="I60" i="79" s="1"/>
  <c r="H39" i="79"/>
  <c r="H40" i="79" s="1"/>
  <c r="H41" i="79" s="1"/>
  <c r="H42" i="79" s="1"/>
  <c r="H43" i="79" s="1"/>
  <c r="H44" i="79" s="1"/>
  <c r="H45" i="79" s="1"/>
  <c r="H46" i="79" s="1"/>
  <c r="H47" i="79" s="1"/>
  <c r="H48" i="79" s="1"/>
  <c r="H49" i="79" s="1"/>
  <c r="H50" i="79" s="1"/>
  <c r="H51" i="79" s="1"/>
  <c r="H52" i="79" s="1"/>
  <c r="H53" i="79" s="1"/>
  <c r="H54" i="79" s="1"/>
  <c r="H55" i="79" s="1"/>
  <c r="H56" i="79" s="1"/>
  <c r="H57" i="79" s="1"/>
  <c r="H58" i="79" s="1"/>
  <c r="H59" i="79" s="1"/>
  <c r="H60" i="79" s="1"/>
  <c r="G39" i="79"/>
  <c r="G40" i="79" s="1"/>
  <c r="G41" i="79" s="1"/>
  <c r="G42" i="79" s="1"/>
  <c r="G43" i="79" s="1"/>
  <c r="G44" i="79" s="1"/>
  <c r="G45" i="79" s="1"/>
  <c r="G46" i="79" s="1"/>
  <c r="G47" i="79" s="1"/>
  <c r="G48" i="79" s="1"/>
  <c r="G49" i="79" s="1"/>
  <c r="G50" i="79" s="1"/>
  <c r="G51" i="79" s="1"/>
  <c r="G52" i="79" s="1"/>
  <c r="G53" i="79" s="1"/>
  <c r="G54" i="79" s="1"/>
  <c r="G55" i="79" s="1"/>
  <c r="G56" i="79" s="1"/>
  <c r="G57" i="79" s="1"/>
  <c r="G58" i="79" s="1"/>
  <c r="G59" i="79" s="1"/>
  <c r="G60" i="79" s="1"/>
  <c r="F39" i="79"/>
  <c r="F40" i="79" s="1"/>
  <c r="F41" i="79" s="1"/>
  <c r="F42" i="79" s="1"/>
  <c r="F43" i="79" s="1"/>
  <c r="F44" i="79" s="1"/>
  <c r="F45" i="79" s="1"/>
  <c r="F46" i="79" s="1"/>
  <c r="F47" i="79" s="1"/>
  <c r="F48" i="79" s="1"/>
  <c r="F49" i="79" s="1"/>
  <c r="F50" i="79" s="1"/>
  <c r="F51" i="79" s="1"/>
  <c r="F52" i="79" s="1"/>
  <c r="F53" i="79" s="1"/>
  <c r="F54" i="79" s="1"/>
  <c r="F55" i="79" s="1"/>
  <c r="F56" i="79" s="1"/>
  <c r="F57" i="79" s="1"/>
  <c r="F58" i="79" s="1"/>
  <c r="F59" i="79" s="1"/>
  <c r="F60" i="79" s="1"/>
  <c r="E39" i="79"/>
  <c r="E40" i="79" s="1"/>
  <c r="E41" i="79" s="1"/>
  <c r="E42" i="79" s="1"/>
  <c r="E43" i="79" s="1"/>
  <c r="E44" i="79" s="1"/>
  <c r="E45" i="79" s="1"/>
  <c r="E46" i="79" s="1"/>
  <c r="E47" i="79" s="1"/>
  <c r="E48" i="79" s="1"/>
  <c r="E49" i="79" s="1"/>
  <c r="E50" i="79" s="1"/>
  <c r="E51" i="79" s="1"/>
  <c r="E52" i="79" s="1"/>
  <c r="E53" i="79" s="1"/>
  <c r="E54" i="79" s="1"/>
  <c r="E55" i="79" s="1"/>
  <c r="E56" i="79" s="1"/>
  <c r="E57" i="79" s="1"/>
  <c r="E58" i="79" s="1"/>
  <c r="E59" i="79" s="1"/>
  <c r="E60" i="79" s="1"/>
  <c r="D39" i="79"/>
  <c r="D40" i="79" s="1"/>
  <c r="D41" i="79" s="1"/>
  <c r="D42" i="79" s="1"/>
  <c r="D43" i="79" s="1"/>
  <c r="D44" i="79" s="1"/>
  <c r="D45" i="79" s="1"/>
  <c r="D46" i="79" s="1"/>
  <c r="D47" i="79" s="1"/>
  <c r="D48" i="79" s="1"/>
  <c r="D49" i="79" s="1"/>
  <c r="D50" i="79" s="1"/>
  <c r="D51" i="79" s="1"/>
  <c r="D52" i="79" s="1"/>
  <c r="D53" i="79" s="1"/>
  <c r="D54" i="79" s="1"/>
  <c r="D55" i="79" s="1"/>
  <c r="D56" i="79" s="1"/>
  <c r="D57" i="79" s="1"/>
  <c r="D58" i="79" s="1"/>
  <c r="D59" i="79" s="1"/>
  <c r="D60" i="79" s="1"/>
  <c r="Y59" i="79"/>
  <c r="Z59" i="79"/>
  <c r="AA59" i="79"/>
  <c r="AB59" i="79" s="1"/>
  <c r="Y60" i="79"/>
  <c r="Z60" i="79"/>
  <c r="AA60" i="79" s="1"/>
  <c r="E139" i="2"/>
  <c r="E138" i="2"/>
  <c r="E137" i="2"/>
  <c r="E136" i="2"/>
  <c r="E135" i="2"/>
  <c r="E134" i="2"/>
  <c r="E133" i="2"/>
  <c r="E132" i="2"/>
  <c r="E131" i="2"/>
  <c r="E130" i="2"/>
  <c r="B39" i="81"/>
  <c r="B40" i="81" s="1"/>
  <c r="B41" i="81" s="1"/>
  <c r="B42" i="81" s="1"/>
  <c r="B43" i="81" s="1"/>
  <c r="B44" i="81" s="1"/>
  <c r="B45" i="81" s="1"/>
  <c r="B46" i="81" s="1"/>
  <c r="B47" i="81" s="1"/>
  <c r="B48" i="81" s="1"/>
  <c r="B49" i="81" s="1"/>
  <c r="B50" i="81" s="1"/>
  <c r="B51" i="81" s="1"/>
  <c r="B52" i="81" s="1"/>
  <c r="B53" i="81" s="1"/>
  <c r="B54" i="81" s="1"/>
  <c r="B55" i="81" s="1"/>
  <c r="B56" i="81" s="1"/>
  <c r="B57" i="81" s="1"/>
  <c r="B58" i="81" s="1"/>
  <c r="B38" i="81"/>
  <c r="H89" i="83" l="1"/>
  <c r="G89" i="83"/>
  <c r="F89" i="83"/>
  <c r="D89" i="83"/>
  <c r="E89" i="83"/>
  <c r="L36" i="67"/>
  <c r="C90" i="83"/>
  <c r="H61" i="83"/>
  <c r="D61" i="83"/>
  <c r="F61" i="83"/>
  <c r="G61" i="83"/>
  <c r="E61" i="83"/>
  <c r="L8" i="67"/>
  <c r="C62" i="83"/>
  <c r="M40" i="67"/>
  <c r="AB60" i="79"/>
  <c r="H90" i="83" l="1"/>
  <c r="E90" i="83"/>
  <c r="F90" i="83"/>
  <c r="G90" i="83"/>
  <c r="D90" i="83"/>
  <c r="F62" i="83"/>
  <c r="G62" i="83"/>
  <c r="D62" i="83"/>
  <c r="H62" i="83"/>
  <c r="E62" i="83"/>
  <c r="C91" i="83"/>
  <c r="L37" i="67"/>
  <c r="L9" i="67"/>
  <c r="C63" i="83"/>
  <c r="M41" i="67"/>
  <c r="D322" i="52"/>
  <c r="D321" i="52"/>
  <c r="D320" i="52"/>
  <c r="D319" i="52"/>
  <c r="D318" i="52"/>
  <c r="D317" i="52"/>
  <c r="D316" i="52"/>
  <c r="D315" i="52"/>
  <c r="D314" i="52"/>
  <c r="D313" i="52"/>
  <c r="D312" i="52"/>
  <c r="D311" i="52"/>
  <c r="D310" i="52"/>
  <c r="D309" i="52"/>
  <c r="D308" i="52"/>
  <c r="D307" i="52"/>
  <c r="D306" i="52"/>
  <c r="D305" i="52"/>
  <c r="C299" i="52" a="1"/>
  <c r="C303" i="52" s="1"/>
  <c r="C258" i="52"/>
  <c r="E256" i="52"/>
  <c r="D256" i="52"/>
  <c r="E220" i="52"/>
  <c r="D220" i="52"/>
  <c r="H184" i="52"/>
  <c r="I184" i="52"/>
  <c r="E148" i="52"/>
  <c r="D148" i="52"/>
  <c r="C92" i="83" l="1"/>
  <c r="L38" i="67"/>
  <c r="F91" i="83"/>
  <c r="G91" i="83"/>
  <c r="D91" i="83"/>
  <c r="E91" i="83"/>
  <c r="H91" i="83"/>
  <c r="F63" i="83"/>
  <c r="D63" i="83"/>
  <c r="E63" i="83"/>
  <c r="H63" i="83"/>
  <c r="G63" i="83"/>
  <c r="L10" i="67"/>
  <c r="C64" i="83"/>
  <c r="M42" i="67"/>
  <c r="D333" i="52"/>
  <c r="C302" i="52"/>
  <c r="C299" i="52"/>
  <c r="C304" i="52"/>
  <c r="C300" i="52"/>
  <c r="C301" i="52"/>
  <c r="E64" i="83" l="1"/>
  <c r="G64" i="83"/>
  <c r="H64" i="83"/>
  <c r="F64" i="83"/>
  <c r="D64" i="83"/>
  <c r="L39" i="67"/>
  <c r="C93" i="83"/>
  <c r="L11" i="67"/>
  <c r="C65" i="83"/>
  <c r="H92" i="83"/>
  <c r="F92" i="83"/>
  <c r="E92" i="83"/>
  <c r="D92" i="83"/>
  <c r="G92" i="83"/>
  <c r="M43" i="67"/>
  <c r="M44" i="67" s="1"/>
  <c r="M45" i="67" s="1"/>
  <c r="M46" i="67" s="1"/>
  <c r="M47" i="67" s="1"/>
  <c r="M48" i="67" s="1"/>
  <c r="M49" i="67" s="1"/>
  <c r="M50" i="67" s="1"/>
  <c r="M51" i="67" s="1"/>
  <c r="M52" i="67" s="1"/>
  <c r="C333" i="52"/>
  <c r="D25" i="29"/>
  <c r="D25" i="1"/>
  <c r="Y58" i="79"/>
  <c r="Y57" i="79"/>
  <c r="Y56" i="79"/>
  <c r="Y55" i="79"/>
  <c r="Y54" i="79"/>
  <c r="Y53" i="79"/>
  <c r="Y52" i="79"/>
  <c r="Y51" i="79"/>
  <c r="Y50" i="79"/>
  <c r="Y49" i="79"/>
  <c r="Y48" i="79"/>
  <c r="Y47" i="79"/>
  <c r="Y46" i="79"/>
  <c r="Y45" i="79"/>
  <c r="Y44" i="79"/>
  <c r="Y43" i="79"/>
  <c r="Y42" i="79"/>
  <c r="Y41" i="79"/>
  <c r="Y40" i="79"/>
  <c r="Y39" i="79"/>
  <c r="Y38" i="79"/>
  <c r="X38" i="79"/>
  <c r="W38" i="79"/>
  <c r="V38" i="79"/>
  <c r="U38" i="79"/>
  <c r="T38" i="79"/>
  <c r="S38" i="79"/>
  <c r="R38" i="79"/>
  <c r="Q38" i="79"/>
  <c r="P38" i="79"/>
  <c r="O38" i="79"/>
  <c r="Y33" i="79"/>
  <c r="X33" i="79"/>
  <c r="W33" i="79"/>
  <c r="V33" i="79"/>
  <c r="U33" i="79"/>
  <c r="T33" i="79"/>
  <c r="S33" i="79"/>
  <c r="R33" i="79"/>
  <c r="Q33" i="79"/>
  <c r="P33" i="79"/>
  <c r="O33" i="79"/>
  <c r="Y28" i="79"/>
  <c r="X28" i="79"/>
  <c r="W28" i="79"/>
  <c r="V28" i="79"/>
  <c r="U28" i="79"/>
  <c r="T28" i="79"/>
  <c r="S28" i="79"/>
  <c r="R28" i="79"/>
  <c r="Q28" i="79"/>
  <c r="P28" i="79"/>
  <c r="O28" i="79"/>
  <c r="Y27" i="79"/>
  <c r="X27" i="79"/>
  <c r="W27" i="79"/>
  <c r="V27" i="79"/>
  <c r="U27" i="79"/>
  <c r="T27" i="79"/>
  <c r="S27" i="79"/>
  <c r="R27" i="79"/>
  <c r="Q27" i="79"/>
  <c r="P27" i="79"/>
  <c r="O27" i="79"/>
  <c r="Y21" i="79"/>
  <c r="X21" i="79"/>
  <c r="W21" i="79"/>
  <c r="V21" i="79"/>
  <c r="U21" i="79"/>
  <c r="T21" i="79"/>
  <c r="S21" i="79"/>
  <c r="R21" i="79"/>
  <c r="Q21" i="79"/>
  <c r="P21" i="79"/>
  <c r="O21" i="79"/>
  <c r="M6" i="86"/>
  <c r="M7" i="86" s="1"/>
  <c r="M8" i="86" s="1"/>
  <c r="M9" i="86" s="1"/>
  <c r="M10" i="86" s="1"/>
  <c r="M11" i="86" s="1"/>
  <c r="M12" i="86" s="1"/>
  <c r="M13" i="86" s="1"/>
  <c r="M14" i="86" s="1"/>
  <c r="M15" i="86" s="1"/>
  <c r="M16" i="86" s="1"/>
  <c r="M17" i="86" s="1"/>
  <c r="M18" i="86" s="1"/>
  <c r="M19" i="86" s="1"/>
  <c r="M20" i="86" s="1"/>
  <c r="M21" i="86" s="1"/>
  <c r="M22" i="86" s="1"/>
  <c r="M23" i="86" s="1"/>
  <c r="M24" i="86" s="1"/>
  <c r="M25" i="86" s="1"/>
  <c r="M26" i="86" s="1"/>
  <c r="M27" i="86" s="1"/>
  <c r="M28" i="86" s="1"/>
  <c r="M29" i="86" s="1"/>
  <c r="J7" i="86"/>
  <c r="J6" i="86"/>
  <c r="J5" i="86"/>
  <c r="E8" i="86"/>
  <c r="E7" i="86"/>
  <c r="E6" i="86"/>
  <c r="E5" i="86"/>
  <c r="O11" i="28"/>
  <c r="N11" i="28"/>
  <c r="M11" i="28"/>
  <c r="L11" i="28"/>
  <c r="K11" i="28"/>
  <c r="J11" i="28"/>
  <c r="I11" i="28"/>
  <c r="C11" i="28"/>
  <c r="H8" i="81"/>
  <c r="H6" i="81"/>
  <c r="H5" i="81"/>
  <c r="E8" i="81"/>
  <c r="E7" i="81"/>
  <c r="E6" i="81"/>
  <c r="E5" i="81"/>
  <c r="C210" i="2"/>
  <c r="F6" i="54"/>
  <c r="G8" i="76"/>
  <c r="F8" i="76"/>
  <c r="E8" i="76"/>
  <c r="D8" i="76"/>
  <c r="G7" i="76"/>
  <c r="F7" i="76"/>
  <c r="E7" i="76"/>
  <c r="D7" i="76"/>
  <c r="B2" i="85"/>
  <c r="B2" i="83"/>
  <c r="D9" i="81"/>
  <c r="E9" i="81" s="1"/>
  <c r="C9" i="81"/>
  <c r="C204" i="2"/>
  <c r="L12" i="67" l="1"/>
  <c r="C66" i="83"/>
  <c r="D93" i="83"/>
  <c r="E93" i="83"/>
  <c r="H93" i="83"/>
  <c r="G93" i="83"/>
  <c r="F93" i="83"/>
  <c r="C94" i="83"/>
  <c r="L40" i="67"/>
  <c r="H65" i="83"/>
  <c r="G65" i="83"/>
  <c r="F65" i="83"/>
  <c r="D65" i="83"/>
  <c r="E65" i="83"/>
  <c r="H8" i="76"/>
  <c r="G7" i="81"/>
  <c r="F7" i="81"/>
  <c r="F9" i="81" s="1"/>
  <c r="B2" i="80"/>
  <c r="B6" i="79"/>
  <c r="E12" i="79"/>
  <c r="E11" i="79"/>
  <c r="E10" i="79"/>
  <c r="E9" i="79"/>
  <c r="E8" i="79"/>
  <c r="E7" i="79"/>
  <c r="B12" i="79"/>
  <c r="B11" i="79"/>
  <c r="B10" i="79"/>
  <c r="B9" i="79"/>
  <c r="B8" i="79"/>
  <c r="B7" i="79"/>
  <c r="X39" i="79"/>
  <c r="U39" i="79"/>
  <c r="T39" i="79"/>
  <c r="Q39" i="79"/>
  <c r="P39" i="79"/>
  <c r="N29" i="79"/>
  <c r="Y29" i="79" s="1"/>
  <c r="M29" i="79"/>
  <c r="X29" i="79" s="1"/>
  <c r="L29" i="79"/>
  <c r="K29" i="79"/>
  <c r="V29" i="79" s="1"/>
  <c r="J29" i="79"/>
  <c r="U29" i="79" s="1"/>
  <c r="I29" i="79"/>
  <c r="H29" i="79"/>
  <c r="G29" i="79"/>
  <c r="R29" i="79" s="1"/>
  <c r="F29" i="79"/>
  <c r="Q29" i="79" s="1"/>
  <c r="E29" i="79"/>
  <c r="P29" i="79" s="1"/>
  <c r="D29" i="79"/>
  <c r="N22" i="79"/>
  <c r="Y22" i="79" s="1"/>
  <c r="M22" i="79"/>
  <c r="X22" i="79" s="1"/>
  <c r="L22" i="79"/>
  <c r="W22" i="79" s="1"/>
  <c r="K22" i="79"/>
  <c r="J22" i="79"/>
  <c r="I22" i="79"/>
  <c r="H22" i="79"/>
  <c r="S22" i="79" s="1"/>
  <c r="G22" i="79"/>
  <c r="F22" i="79"/>
  <c r="E22" i="79"/>
  <c r="P22" i="79" s="1"/>
  <c r="D22" i="79"/>
  <c r="F94" i="83" l="1"/>
  <c r="D94" i="83"/>
  <c r="E94" i="83"/>
  <c r="H94" i="83"/>
  <c r="G94" i="83"/>
  <c r="F66" i="83"/>
  <c r="D66" i="83"/>
  <c r="G66" i="83"/>
  <c r="H66" i="83"/>
  <c r="E66" i="83"/>
  <c r="L41" i="67"/>
  <c r="C95" i="83"/>
  <c r="L13" i="67"/>
  <c r="C67" i="83"/>
  <c r="D23" i="79"/>
  <c r="O22" i="79"/>
  <c r="I30" i="79"/>
  <c r="T30" i="79" s="1"/>
  <c r="T29" i="79"/>
  <c r="V40" i="79"/>
  <c r="V39" i="79"/>
  <c r="J23" i="79"/>
  <c r="U22" i="79"/>
  <c r="O40" i="79"/>
  <c r="O39" i="79"/>
  <c r="S39" i="79"/>
  <c r="W40" i="79"/>
  <c r="W39" i="79"/>
  <c r="I23" i="79"/>
  <c r="T23" i="79" s="1"/>
  <c r="T22" i="79"/>
  <c r="R40" i="79"/>
  <c r="R39" i="79"/>
  <c r="F23" i="79"/>
  <c r="Q23" i="79" s="1"/>
  <c r="Q22" i="79"/>
  <c r="G23" i="79"/>
  <c r="R23" i="79" s="1"/>
  <c r="R22" i="79"/>
  <c r="K23" i="79"/>
  <c r="V23" i="79" s="1"/>
  <c r="V22" i="79"/>
  <c r="D30" i="79"/>
  <c r="O30" i="79" s="1"/>
  <c r="O29" i="79"/>
  <c r="H30" i="79"/>
  <c r="S30" i="79" s="1"/>
  <c r="S29" i="79"/>
  <c r="L30" i="79"/>
  <c r="W30" i="79" s="1"/>
  <c r="W29" i="79"/>
  <c r="G9" i="81"/>
  <c r="H9" i="81" s="1"/>
  <c r="H7" i="81"/>
  <c r="K30" i="79"/>
  <c r="V30" i="79" s="1"/>
  <c r="N23" i="79"/>
  <c r="Y23" i="79" s="1"/>
  <c r="U40" i="79"/>
  <c r="O41" i="79"/>
  <c r="F30" i="79"/>
  <c r="Q30" i="79" s="1"/>
  <c r="J30" i="79"/>
  <c r="U30" i="79" s="1"/>
  <c r="N30" i="79"/>
  <c r="Y30" i="79" s="1"/>
  <c r="F24" i="79"/>
  <c r="W41" i="79"/>
  <c r="Z56" i="79"/>
  <c r="AA56" i="79" s="1"/>
  <c r="AB56" i="79" s="1"/>
  <c r="Z52" i="79"/>
  <c r="AA52" i="79" s="1"/>
  <c r="AB52" i="79" s="1"/>
  <c r="Z48" i="79"/>
  <c r="AA48" i="79" s="1"/>
  <c r="AB48" i="79" s="1"/>
  <c r="Z44" i="79"/>
  <c r="AA44" i="79" s="1"/>
  <c r="AB44" i="79" s="1"/>
  <c r="Z40" i="79"/>
  <c r="AA40" i="79" s="1"/>
  <c r="AB40" i="79" s="1"/>
  <c r="Z36" i="79"/>
  <c r="AA36" i="79" s="1"/>
  <c r="AB36" i="79" s="1"/>
  <c r="Z32" i="79"/>
  <c r="AA32" i="79" s="1"/>
  <c r="AB32" i="79" s="1"/>
  <c r="Z28" i="79"/>
  <c r="AA28" i="79" s="1"/>
  <c r="AB28" i="79" s="1"/>
  <c r="Z24" i="79"/>
  <c r="AA24" i="79" s="1"/>
  <c r="AB24" i="79" s="1"/>
  <c r="Z54" i="79"/>
  <c r="AA54" i="79" s="1"/>
  <c r="AB54" i="79" s="1"/>
  <c r="Z49" i="79"/>
  <c r="AA49" i="79" s="1"/>
  <c r="AB49" i="79" s="1"/>
  <c r="Z43" i="79"/>
  <c r="AA43" i="79" s="1"/>
  <c r="AB43" i="79" s="1"/>
  <c r="Z38" i="79"/>
  <c r="AA38" i="79" s="1"/>
  <c r="AB38" i="79" s="1"/>
  <c r="Z33" i="79"/>
  <c r="AA33" i="79" s="1"/>
  <c r="AB33" i="79" s="1"/>
  <c r="Z27" i="79"/>
  <c r="AA27" i="79" s="1"/>
  <c r="AB27" i="79" s="1"/>
  <c r="Z22" i="79"/>
  <c r="AA22" i="79" s="1"/>
  <c r="AB22" i="79" s="1"/>
  <c r="Z58" i="79"/>
  <c r="AA58" i="79" s="1"/>
  <c r="AB58" i="79" s="1"/>
  <c r="Z53" i="79"/>
  <c r="AA53" i="79" s="1"/>
  <c r="AB53" i="79" s="1"/>
  <c r="Z47" i="79"/>
  <c r="AA47" i="79" s="1"/>
  <c r="AB47" i="79" s="1"/>
  <c r="Z42" i="79"/>
  <c r="AA42" i="79" s="1"/>
  <c r="AB42" i="79" s="1"/>
  <c r="Z37" i="79"/>
  <c r="AA37" i="79" s="1"/>
  <c r="AB37" i="79" s="1"/>
  <c r="Z31" i="79"/>
  <c r="AA31" i="79" s="1"/>
  <c r="AB31" i="79" s="1"/>
  <c r="Z26" i="79"/>
  <c r="AA26" i="79" s="1"/>
  <c r="AB26" i="79" s="1"/>
  <c r="Z21" i="79"/>
  <c r="AA21" i="79" s="1"/>
  <c r="AB21" i="79" s="1"/>
  <c r="Z51" i="79"/>
  <c r="AA51" i="79" s="1"/>
  <c r="AB51" i="79" s="1"/>
  <c r="Z41" i="79"/>
  <c r="AA41" i="79" s="1"/>
  <c r="AB41" i="79" s="1"/>
  <c r="Z30" i="79"/>
  <c r="AA30" i="79" s="1"/>
  <c r="AB30" i="79" s="1"/>
  <c r="Z50" i="79"/>
  <c r="AA50" i="79" s="1"/>
  <c r="AB50" i="79" s="1"/>
  <c r="Z39" i="79"/>
  <c r="AA39" i="79" s="1"/>
  <c r="AB39" i="79" s="1"/>
  <c r="Z29" i="79"/>
  <c r="AA29" i="79" s="1"/>
  <c r="AB29" i="79" s="1"/>
  <c r="Z57" i="79"/>
  <c r="AA57" i="79" s="1"/>
  <c r="AB57" i="79" s="1"/>
  <c r="Z46" i="79"/>
  <c r="AA46" i="79" s="1"/>
  <c r="AB46" i="79" s="1"/>
  <c r="Z35" i="79"/>
  <c r="AA35" i="79" s="1"/>
  <c r="AB35" i="79" s="1"/>
  <c r="Z25" i="79"/>
  <c r="AA25" i="79" s="1"/>
  <c r="AB25" i="79" s="1"/>
  <c r="Z55" i="79"/>
  <c r="AA55" i="79" s="1"/>
  <c r="AB55" i="79" s="1"/>
  <c r="Z45" i="79"/>
  <c r="AA45" i="79" s="1"/>
  <c r="AB45" i="79" s="1"/>
  <c r="Z34" i="79"/>
  <c r="AA34" i="79" s="1"/>
  <c r="AB34" i="79" s="1"/>
  <c r="Z23" i="79"/>
  <c r="AA23" i="79" s="1"/>
  <c r="AB23" i="79" s="1"/>
  <c r="E23" i="79"/>
  <c r="P23" i="79" s="1"/>
  <c r="M23" i="79"/>
  <c r="X23" i="79" s="1"/>
  <c r="G30" i="79"/>
  <c r="R30" i="79" s="1"/>
  <c r="T40" i="79"/>
  <c r="P40" i="79"/>
  <c r="X40" i="79"/>
  <c r="I31" i="79"/>
  <c r="T31" i="79" s="1"/>
  <c r="H31" i="79"/>
  <c r="S31" i="79" s="1"/>
  <c r="L31" i="79"/>
  <c r="W31" i="79" s="1"/>
  <c r="E30" i="79"/>
  <c r="P30" i="79" s="1"/>
  <c r="M30" i="79"/>
  <c r="X30" i="79" s="1"/>
  <c r="K24" i="79"/>
  <c r="V24" i="79" s="1"/>
  <c r="H23" i="79"/>
  <c r="S23" i="79" s="1"/>
  <c r="L23" i="79"/>
  <c r="W23" i="79" s="1"/>
  <c r="I24" i="79"/>
  <c r="T24" i="79" s="1"/>
  <c r="D67" i="83" l="1"/>
  <c r="F67" i="83"/>
  <c r="E67" i="83"/>
  <c r="H67" i="83"/>
  <c r="G67" i="83"/>
  <c r="F95" i="83"/>
  <c r="G95" i="83"/>
  <c r="D95" i="83"/>
  <c r="E95" i="83"/>
  <c r="H95" i="83"/>
  <c r="C96" i="83"/>
  <c r="L42" i="67"/>
  <c r="L14" i="67"/>
  <c r="C68" i="83"/>
  <c r="F25" i="79"/>
  <c r="Q25" i="79" s="1"/>
  <c r="Q24" i="79"/>
  <c r="D24" i="79"/>
  <c r="O23" i="79"/>
  <c r="G24" i="79"/>
  <c r="R24" i="79" s="1"/>
  <c r="R41" i="79"/>
  <c r="D31" i="79"/>
  <c r="O31" i="79" s="1"/>
  <c r="V41" i="79"/>
  <c r="Q41" i="79"/>
  <c r="Q40" i="79"/>
  <c r="S40" i="79"/>
  <c r="J24" i="79"/>
  <c r="U23" i="79"/>
  <c r="D12" i="81"/>
  <c r="K31" i="79"/>
  <c r="N24" i="79"/>
  <c r="Y24" i="79" s="1"/>
  <c r="M24" i="79"/>
  <c r="X24" i="79" s="1"/>
  <c r="R42" i="79"/>
  <c r="W42" i="79"/>
  <c r="F31" i="79"/>
  <c r="Q31" i="79" s="1"/>
  <c r="Q42" i="79"/>
  <c r="D32" i="79"/>
  <c r="O32" i="79" s="1"/>
  <c r="U41" i="79"/>
  <c r="J31" i="79"/>
  <c r="U31" i="79" s="1"/>
  <c r="X41" i="79"/>
  <c r="V42" i="79"/>
  <c r="E24" i="79"/>
  <c r="P24" i="79" s="1"/>
  <c r="P41" i="79"/>
  <c r="T41" i="79"/>
  <c r="G31" i="79"/>
  <c r="R31" i="79" s="1"/>
  <c r="N31" i="79"/>
  <c r="Y31" i="79" s="1"/>
  <c r="O42" i="79"/>
  <c r="T42" i="79"/>
  <c r="L32" i="79"/>
  <c r="W32" i="79" s="1"/>
  <c r="M31" i="79"/>
  <c r="X31" i="79" s="1"/>
  <c r="E31" i="79"/>
  <c r="P31" i="79" s="1"/>
  <c r="H32" i="79"/>
  <c r="S32" i="79" s="1"/>
  <c r="I32" i="79"/>
  <c r="T32" i="79" s="1"/>
  <c r="I25" i="79"/>
  <c r="T25" i="79" s="1"/>
  <c r="F26" i="79"/>
  <c r="Q26" i="79" s="1"/>
  <c r="L24" i="79"/>
  <c r="W24" i="79" s="1"/>
  <c r="H24" i="79"/>
  <c r="S24" i="79" s="1"/>
  <c r="G25" i="79"/>
  <c r="R25" i="79" s="1"/>
  <c r="K25" i="79"/>
  <c r="V25" i="79" s="1"/>
  <c r="H68" i="83" l="1"/>
  <c r="G68" i="83"/>
  <c r="D68" i="83"/>
  <c r="F68" i="83"/>
  <c r="E68" i="83"/>
  <c r="L43" i="67"/>
  <c r="L44" i="67" s="1"/>
  <c r="L45" i="67" s="1"/>
  <c r="L46" i="67" s="1"/>
  <c r="L47" i="67" s="1"/>
  <c r="L48" i="67" s="1"/>
  <c r="L49" i="67" s="1"/>
  <c r="L50" i="67" s="1"/>
  <c r="L51" i="67" s="1"/>
  <c r="L52" i="67" s="1"/>
  <c r="C97" i="83"/>
  <c r="F96" i="83"/>
  <c r="D96" i="83"/>
  <c r="E96" i="83"/>
  <c r="H96" i="83"/>
  <c r="G96" i="83"/>
  <c r="L15" i="67"/>
  <c r="C69" i="83"/>
  <c r="K32" i="79"/>
  <c r="V32" i="79" s="1"/>
  <c r="V31" i="79"/>
  <c r="S41" i="79"/>
  <c r="O24" i="79"/>
  <c r="D25" i="79"/>
  <c r="U24" i="79"/>
  <c r="J25" i="79"/>
  <c r="M25" i="79"/>
  <c r="X25" i="79" s="1"/>
  <c r="J32" i="79"/>
  <c r="U32" i="79" s="1"/>
  <c r="N25" i="79"/>
  <c r="Y25" i="79" s="1"/>
  <c r="E25" i="79"/>
  <c r="P25" i="79" s="1"/>
  <c r="J35" i="79"/>
  <c r="U35" i="79" s="1"/>
  <c r="J34" i="79"/>
  <c r="U34" i="79" s="1"/>
  <c r="L34" i="79"/>
  <c r="W34" i="79" s="1"/>
  <c r="L35" i="79"/>
  <c r="W35" i="79" s="1"/>
  <c r="K35" i="79"/>
  <c r="V35" i="79" s="1"/>
  <c r="K34" i="79"/>
  <c r="V34" i="79" s="1"/>
  <c r="V43" i="79"/>
  <c r="H34" i="79"/>
  <c r="S34" i="79" s="1"/>
  <c r="H35" i="79"/>
  <c r="S35" i="79" s="1"/>
  <c r="N32" i="79"/>
  <c r="Y32" i="79" s="1"/>
  <c r="U42" i="79"/>
  <c r="Q43" i="79"/>
  <c r="W43" i="79"/>
  <c r="P42" i="79"/>
  <c r="O43" i="79"/>
  <c r="G32" i="79"/>
  <c r="R32" i="79" s="1"/>
  <c r="I34" i="79"/>
  <c r="T34" i="79" s="1"/>
  <c r="I35" i="79"/>
  <c r="T35" i="79" s="1"/>
  <c r="X42" i="79"/>
  <c r="F32" i="79"/>
  <c r="Q32" i="79" s="1"/>
  <c r="R43" i="79"/>
  <c r="T43" i="79"/>
  <c r="M32" i="79"/>
  <c r="X32" i="79" s="1"/>
  <c r="E32" i="79"/>
  <c r="P32" i="79" s="1"/>
  <c r="K26" i="79"/>
  <c r="V26" i="79" s="1"/>
  <c r="G26" i="79"/>
  <c r="R26" i="79" s="1"/>
  <c r="L25" i="79"/>
  <c r="W25" i="79" s="1"/>
  <c r="H25" i="79"/>
  <c r="S25" i="79" s="1"/>
  <c r="I26" i="79"/>
  <c r="T26" i="79" s="1"/>
  <c r="D97" i="83" l="1"/>
  <c r="H97" i="83"/>
  <c r="G97" i="83"/>
  <c r="F97" i="83"/>
  <c r="E97" i="83"/>
  <c r="H69" i="83"/>
  <c r="D69" i="83"/>
  <c r="E69" i="83"/>
  <c r="G69" i="83"/>
  <c r="F69" i="83"/>
  <c r="L16" i="67"/>
  <c r="C70" i="83"/>
  <c r="U25" i="79"/>
  <c r="J26" i="79"/>
  <c r="U26" i="79" s="1"/>
  <c r="S42" i="79"/>
  <c r="O25" i="79"/>
  <c r="D26" i="79"/>
  <c r="O26" i="79" s="1"/>
  <c r="M26" i="79"/>
  <c r="X26" i="79" s="1"/>
  <c r="E26" i="79"/>
  <c r="P26" i="79" s="1"/>
  <c r="X43" i="79"/>
  <c r="P43" i="79"/>
  <c r="N26" i="79"/>
  <c r="Y26" i="79" s="1"/>
  <c r="R44" i="79"/>
  <c r="I37" i="79"/>
  <c r="T37" i="79" s="1"/>
  <c r="H37" i="79"/>
  <c r="S37" i="79" s="1"/>
  <c r="V44" i="79"/>
  <c r="K36" i="79"/>
  <c r="V36" i="79" s="1"/>
  <c r="L36" i="79"/>
  <c r="W36" i="79" s="1"/>
  <c r="F35" i="79"/>
  <c r="Q35" i="79" s="1"/>
  <c r="F34" i="79"/>
  <c r="Q34" i="79" s="1"/>
  <c r="W44" i="79"/>
  <c r="U43" i="79"/>
  <c r="K37" i="79"/>
  <c r="V37" i="79" s="1"/>
  <c r="J36" i="79"/>
  <c r="U36" i="79" s="1"/>
  <c r="E34" i="79"/>
  <c r="P34" i="79" s="1"/>
  <c r="E35" i="79"/>
  <c r="P35" i="79" s="1"/>
  <c r="I36" i="79"/>
  <c r="T36" i="79" s="1"/>
  <c r="O44" i="79"/>
  <c r="N35" i="79"/>
  <c r="Y35" i="79" s="1"/>
  <c r="N34" i="79"/>
  <c r="Y34" i="79" s="1"/>
  <c r="H36" i="79"/>
  <c r="S36" i="79" s="1"/>
  <c r="L37" i="79"/>
  <c r="W37" i="79" s="1"/>
  <c r="J37" i="79"/>
  <c r="U37" i="79" s="1"/>
  <c r="M34" i="79"/>
  <c r="X34" i="79" s="1"/>
  <c r="M35" i="79"/>
  <c r="X35" i="79" s="1"/>
  <c r="G35" i="79"/>
  <c r="R35" i="79" s="1"/>
  <c r="G34" i="79"/>
  <c r="R34" i="79" s="1"/>
  <c r="Q44" i="79"/>
  <c r="P44" i="79"/>
  <c r="X44" i="79"/>
  <c r="T44" i="79"/>
  <c r="L26" i="79"/>
  <c r="W26" i="79" s="1"/>
  <c r="H26" i="79"/>
  <c r="S26" i="79" s="1"/>
  <c r="F70" i="83" l="1"/>
  <c r="H70" i="83"/>
  <c r="D70" i="83"/>
  <c r="E70" i="83"/>
  <c r="G70" i="83"/>
  <c r="L17" i="67"/>
  <c r="C71" i="83"/>
  <c r="S43" i="79"/>
  <c r="G36" i="79"/>
  <c r="R36" i="79" s="1"/>
  <c r="M36" i="79"/>
  <c r="X36" i="79" s="1"/>
  <c r="E37" i="79"/>
  <c r="P37" i="79" s="1"/>
  <c r="U44" i="79"/>
  <c r="F37" i="79"/>
  <c r="Q37" i="79" s="1"/>
  <c r="Q45" i="79"/>
  <c r="M37" i="79"/>
  <c r="X37" i="79" s="1"/>
  <c r="N37" i="79"/>
  <c r="Y37" i="79" s="1"/>
  <c r="E36" i="79"/>
  <c r="P36" i="79" s="1"/>
  <c r="W45" i="79"/>
  <c r="F36" i="79"/>
  <c r="Q36" i="79" s="1"/>
  <c r="V45" i="79"/>
  <c r="G37" i="79"/>
  <c r="R37" i="79" s="1"/>
  <c r="N36" i="79"/>
  <c r="Y36" i="79" s="1"/>
  <c r="O45" i="79"/>
  <c r="R45" i="79"/>
  <c r="X45" i="79"/>
  <c r="T45" i="79"/>
  <c r="P45" i="79"/>
  <c r="E71" i="83" l="1"/>
  <c r="G71" i="83"/>
  <c r="F71" i="83"/>
  <c r="H71" i="83"/>
  <c r="D71" i="83"/>
  <c r="L18" i="67"/>
  <c r="C72" i="83"/>
  <c r="S44" i="79"/>
  <c r="O46" i="79"/>
  <c r="Q46" i="79"/>
  <c r="U45" i="79"/>
  <c r="R46" i="79"/>
  <c r="V46" i="79"/>
  <c r="W46" i="79"/>
  <c r="T46" i="79"/>
  <c r="P46" i="79"/>
  <c r="X46" i="79"/>
  <c r="E72" i="83" l="1"/>
  <c r="H72" i="83"/>
  <c r="D72" i="83"/>
  <c r="F72" i="83"/>
  <c r="G72" i="83"/>
  <c r="L19" i="67"/>
  <c r="C73" i="83"/>
  <c r="S45" i="79"/>
  <c r="V47" i="79"/>
  <c r="U46" i="79"/>
  <c r="W47" i="79"/>
  <c r="R47" i="79"/>
  <c r="Q47" i="79"/>
  <c r="O47" i="79"/>
  <c r="P47" i="79"/>
  <c r="X47" i="79"/>
  <c r="T47" i="79"/>
  <c r="G73" i="83" l="1"/>
  <c r="H73" i="83"/>
  <c r="F73" i="83"/>
  <c r="D73" i="83"/>
  <c r="E73" i="83"/>
  <c r="L20" i="67"/>
  <c r="C74" i="83"/>
  <c r="S46" i="79"/>
  <c r="Q48" i="79"/>
  <c r="W48" i="79"/>
  <c r="O48" i="79"/>
  <c r="R48" i="79"/>
  <c r="U47" i="79"/>
  <c r="V48" i="79"/>
  <c r="X48" i="79"/>
  <c r="T48" i="79"/>
  <c r="P48" i="79"/>
  <c r="E74" i="83" l="1"/>
  <c r="D74" i="83"/>
  <c r="G74" i="83"/>
  <c r="F74" i="83"/>
  <c r="H74" i="83"/>
  <c r="L21" i="67"/>
  <c r="C75" i="83"/>
  <c r="S47" i="79"/>
  <c r="U48" i="79"/>
  <c r="O49" i="79"/>
  <c r="W49" i="79"/>
  <c r="V49" i="79"/>
  <c r="R49" i="79"/>
  <c r="Q49" i="79"/>
  <c r="T49" i="79"/>
  <c r="P49" i="79"/>
  <c r="X49" i="79"/>
  <c r="D75" i="83" l="1"/>
  <c r="G75" i="83"/>
  <c r="H75" i="83"/>
  <c r="F75" i="83"/>
  <c r="E75" i="83"/>
  <c r="L22" i="67"/>
  <c r="C76" i="83"/>
  <c r="S48" i="79"/>
  <c r="V50" i="79"/>
  <c r="O50" i="79"/>
  <c r="Q50" i="79"/>
  <c r="R50" i="79"/>
  <c r="W50" i="79"/>
  <c r="U49" i="79"/>
  <c r="P50" i="79"/>
  <c r="X50" i="79"/>
  <c r="T50" i="79"/>
  <c r="G76" i="83" l="1"/>
  <c r="H76" i="83"/>
  <c r="D76" i="83"/>
  <c r="E76" i="83"/>
  <c r="F76" i="83"/>
  <c r="L23" i="67"/>
  <c r="C77" i="83"/>
  <c r="S49" i="79"/>
  <c r="W51" i="79"/>
  <c r="Q51" i="79"/>
  <c r="U50" i="79"/>
  <c r="R51" i="79"/>
  <c r="O51" i="79"/>
  <c r="V51" i="79"/>
  <c r="X51" i="79"/>
  <c r="T51" i="79"/>
  <c r="P51" i="79"/>
  <c r="G77" i="83" l="1"/>
  <c r="D77" i="83"/>
  <c r="E77" i="83"/>
  <c r="F77" i="83"/>
  <c r="H77" i="83"/>
  <c r="L24" i="67"/>
  <c r="C78" i="83"/>
  <c r="S50" i="79"/>
  <c r="O52" i="79"/>
  <c r="W52" i="79"/>
  <c r="U51" i="79"/>
  <c r="V52" i="79"/>
  <c r="R52" i="79"/>
  <c r="Q52" i="79"/>
  <c r="T52" i="79"/>
  <c r="P52" i="79"/>
  <c r="X52" i="79"/>
  <c r="D78" i="83" l="1"/>
  <c r="F78" i="83"/>
  <c r="G78" i="83"/>
  <c r="E78" i="83"/>
  <c r="H78" i="83"/>
  <c r="L25" i="67"/>
  <c r="C79" i="83"/>
  <c r="S51" i="79"/>
  <c r="W53" i="79"/>
  <c r="Q53" i="79"/>
  <c r="V53" i="79"/>
  <c r="R53" i="79"/>
  <c r="U52" i="79"/>
  <c r="O53" i="79"/>
  <c r="P53" i="79"/>
  <c r="X53" i="79"/>
  <c r="T53" i="79"/>
  <c r="F79" i="83" l="1"/>
  <c r="G79" i="83"/>
  <c r="D79" i="83"/>
  <c r="E79" i="83"/>
  <c r="H79" i="83"/>
  <c r="L26" i="67"/>
  <c r="C80" i="83"/>
  <c r="S52" i="79"/>
  <c r="Q54" i="79"/>
  <c r="U53" i="79"/>
  <c r="O54" i="79"/>
  <c r="R54" i="79"/>
  <c r="V54" i="79"/>
  <c r="W54" i="79"/>
  <c r="X54" i="79"/>
  <c r="T54" i="79"/>
  <c r="P54" i="79"/>
  <c r="G80" i="83" l="1"/>
  <c r="H80" i="83"/>
  <c r="F80" i="83"/>
  <c r="D80" i="83"/>
  <c r="E80" i="83"/>
  <c r="L27" i="67"/>
  <c r="C81" i="83"/>
  <c r="S53" i="79"/>
  <c r="U54" i="79"/>
  <c r="V55" i="79"/>
  <c r="O55" i="79"/>
  <c r="W55" i="79"/>
  <c r="R55" i="79"/>
  <c r="Q55" i="79"/>
  <c r="T55" i="79"/>
  <c r="P55" i="79"/>
  <c r="X55" i="79"/>
  <c r="G81" i="83" l="1"/>
  <c r="D81" i="83"/>
  <c r="E81" i="83"/>
  <c r="H81" i="83"/>
  <c r="F81" i="83"/>
  <c r="L28" i="67"/>
  <c r="C82" i="83"/>
  <c r="S54" i="79"/>
  <c r="V56" i="79"/>
  <c r="W56" i="79"/>
  <c r="Q56" i="79"/>
  <c r="R56" i="79"/>
  <c r="O56" i="79"/>
  <c r="U55" i="79"/>
  <c r="P56" i="79"/>
  <c r="X56" i="79"/>
  <c r="T56" i="79"/>
  <c r="H82" i="83" l="1"/>
  <c r="F82" i="83"/>
  <c r="D82" i="83"/>
  <c r="E82" i="83"/>
  <c r="G82" i="83"/>
  <c r="L29" i="67"/>
  <c r="C83" i="83"/>
  <c r="S55" i="79"/>
  <c r="O57" i="79"/>
  <c r="V57" i="79"/>
  <c r="Q57" i="79"/>
  <c r="U56" i="79"/>
  <c r="R57" i="79"/>
  <c r="W57" i="79"/>
  <c r="X57" i="79"/>
  <c r="T57" i="79"/>
  <c r="P57" i="79"/>
  <c r="G83" i="83" l="1"/>
  <c r="F83" i="83"/>
  <c r="D83" i="83"/>
  <c r="E83" i="83"/>
  <c r="H83" i="83"/>
  <c r="L30" i="67"/>
  <c r="C85" i="83" s="1"/>
  <c r="C84" i="83"/>
  <c r="S56" i="79"/>
  <c r="U57" i="79"/>
  <c r="E84" i="83" l="1"/>
  <c r="D84" i="83"/>
  <c r="F84" i="83"/>
  <c r="G84" i="83"/>
  <c r="H84" i="83"/>
  <c r="G85" i="83"/>
  <c r="H85" i="83"/>
  <c r="E85" i="83"/>
  <c r="F85" i="83"/>
  <c r="D85" i="83"/>
  <c r="Q58" i="79"/>
  <c r="V58" i="79"/>
  <c r="S57" i="79"/>
  <c r="R58" i="79"/>
  <c r="T58" i="79"/>
  <c r="O58" i="79"/>
  <c r="W58" i="79"/>
  <c r="X58" i="79"/>
  <c r="P58" i="79"/>
  <c r="U58" i="79" l="1"/>
  <c r="S58" i="79"/>
  <c r="X60" i="79"/>
  <c r="X59" i="79"/>
  <c r="O59" i="79"/>
  <c r="O60" i="79"/>
  <c r="R60" i="79"/>
  <c r="R59" i="79"/>
  <c r="V59" i="79"/>
  <c r="V60" i="79"/>
  <c r="P60" i="79"/>
  <c r="P59" i="79"/>
  <c r="W60" i="79"/>
  <c r="W59" i="79"/>
  <c r="T59" i="79"/>
  <c r="T60" i="79"/>
  <c r="Q59" i="79"/>
  <c r="Q60" i="79"/>
  <c r="S59" i="79" l="1"/>
  <c r="S60" i="79"/>
  <c r="U59" i="79"/>
  <c r="U60" i="79"/>
  <c r="B2" i="79" l="1"/>
  <c r="I27" i="63"/>
  <c r="H27" i="63"/>
  <c r="H28" i="63" s="1"/>
  <c r="G27" i="63"/>
  <c r="G28" i="63" s="1"/>
  <c r="J26" i="63"/>
  <c r="I26" i="63"/>
  <c r="K25" i="63"/>
  <c r="J25" i="63"/>
  <c r="K24" i="63"/>
  <c r="M24" i="63" s="1"/>
  <c r="J23" i="63"/>
  <c r="J24" i="63"/>
  <c r="L23" i="63"/>
  <c r="K23" i="63"/>
  <c r="J22" i="63"/>
  <c r="M22" i="63" s="1"/>
  <c r="L21" i="63"/>
  <c r="K21" i="63"/>
  <c r="J21" i="63"/>
  <c r="K20" i="63"/>
  <c r="J20" i="63"/>
  <c r="L28" i="63" l="1"/>
  <c r="K28" i="63"/>
  <c r="M26" i="63"/>
  <c r="J28" i="63"/>
  <c r="M21" i="63"/>
  <c r="M23" i="63"/>
  <c r="M20" i="63"/>
  <c r="M27" i="63"/>
  <c r="I28" i="63"/>
  <c r="M25" i="63"/>
  <c r="C195" i="2" l="1"/>
  <c r="C194" i="2"/>
  <c r="I65" i="47"/>
  <c r="C193" i="2" s="1"/>
  <c r="H60" i="47"/>
  <c r="G65" i="47"/>
  <c r="F65" i="47"/>
  <c r="E65" i="47"/>
  <c r="D65" i="47"/>
  <c r="C65" i="47"/>
  <c r="L64" i="47"/>
  <c r="K64" i="47"/>
  <c r="J64" i="47"/>
  <c r="H64" i="47"/>
  <c r="L63" i="47"/>
  <c r="K63" i="47"/>
  <c r="J63" i="47"/>
  <c r="H63" i="47"/>
  <c r="L62" i="47"/>
  <c r="K62" i="47"/>
  <c r="J62" i="47"/>
  <c r="H62" i="47"/>
  <c r="L61" i="47"/>
  <c r="K61" i="47"/>
  <c r="J61" i="47"/>
  <c r="H61" i="47"/>
  <c r="H65" i="47" s="1"/>
  <c r="C192" i="2" s="1"/>
  <c r="L60" i="47"/>
  <c r="L65" i="47" s="1"/>
  <c r="K60" i="47"/>
  <c r="K65" i="47" s="1"/>
  <c r="J60" i="47"/>
  <c r="J65" i="47" s="1"/>
  <c r="G32" i="67"/>
  <c r="I32" i="67" s="1"/>
  <c r="F32" i="67"/>
  <c r="A10" i="67"/>
  <c r="A11" i="67" s="1"/>
  <c r="A12" i="67" s="1"/>
  <c r="A13" i="67" s="1"/>
  <c r="A14" i="67" s="1"/>
  <c r="A15" i="67" s="1"/>
  <c r="A16" i="67" s="1"/>
  <c r="A17" i="67" s="1"/>
  <c r="A18" i="67" s="1"/>
  <c r="A19" i="67" s="1"/>
  <c r="A20" i="67" s="1"/>
  <c r="A21" i="67" s="1"/>
  <c r="A22" i="67" s="1"/>
  <c r="A23" i="67" s="1"/>
  <c r="A24" i="67" s="1"/>
  <c r="A25" i="67" s="1"/>
  <c r="A26" i="67" s="1"/>
  <c r="A27" i="67" s="1"/>
  <c r="A28" i="67" s="1"/>
  <c r="A29" i="67" s="1"/>
  <c r="A30" i="67" s="1"/>
  <c r="A31" i="67" s="1"/>
  <c r="E17" i="73"/>
  <c r="E16" i="73"/>
  <c r="E15" i="73"/>
  <c r="E14" i="73"/>
  <c r="F33" i="67" l="1"/>
  <c r="H32" i="67"/>
  <c r="P32" i="67" s="1"/>
  <c r="A32" i="67"/>
  <c r="A33" i="67" s="1"/>
  <c r="A34" i="67" s="1"/>
  <c r="A35" i="67" s="1"/>
  <c r="A36" i="67" s="1"/>
  <c r="A37" i="67" s="1"/>
  <c r="A38" i="67" s="1"/>
  <c r="A39" i="67" s="1"/>
  <c r="A40" i="67" s="1"/>
  <c r="A41" i="67" s="1"/>
  <c r="A42" i="67" s="1"/>
  <c r="A43" i="67" s="1"/>
  <c r="A44" i="67" s="1"/>
  <c r="A45" i="67" s="1"/>
  <c r="A46" i="67" s="1"/>
  <c r="A47" i="67" s="1"/>
  <c r="A48" i="67" s="1"/>
  <c r="A49" i="67" s="1"/>
  <c r="A50" i="67" s="1"/>
  <c r="A51" i="67" s="1"/>
  <c r="A52" i="67" s="1"/>
  <c r="G4" i="67"/>
  <c r="C4" i="67"/>
  <c r="B4" i="67"/>
  <c r="F4" i="67"/>
  <c r="B32" i="67"/>
  <c r="C32" i="67"/>
  <c r="G33" i="67"/>
  <c r="I33" i="67" s="1"/>
  <c r="Q31" i="67"/>
  <c r="P31" i="67"/>
  <c r="O31" i="67"/>
  <c r="E32" i="67"/>
  <c r="C34" i="54" l="1"/>
  <c r="D118" i="76"/>
  <c r="D32" i="75"/>
  <c r="E118" i="76"/>
  <c r="C32" i="75"/>
  <c r="D119" i="76"/>
  <c r="C33" i="75"/>
  <c r="E119" i="76"/>
  <c r="D33" i="75"/>
  <c r="E34" i="54"/>
  <c r="F118" i="76"/>
  <c r="E32" i="75"/>
  <c r="H32" i="75" s="1"/>
  <c r="D60" i="52" s="1"/>
  <c r="F34" i="67"/>
  <c r="H33" i="67"/>
  <c r="P33" i="67" s="1"/>
  <c r="G5" i="67"/>
  <c r="I4" i="67"/>
  <c r="F5" i="67"/>
  <c r="H4" i="67"/>
  <c r="B5" i="67"/>
  <c r="D4" i="67"/>
  <c r="E4" i="67"/>
  <c r="C5" i="67"/>
  <c r="C33" i="67"/>
  <c r="B33" i="67"/>
  <c r="G34" i="67"/>
  <c r="I34" i="67" s="1"/>
  <c r="D34" i="54"/>
  <c r="E33" i="67"/>
  <c r="O32" i="67"/>
  <c r="Q32" i="67"/>
  <c r="D35" i="54"/>
  <c r="C35" i="54"/>
  <c r="G33" i="75" l="1"/>
  <c r="C61" i="52" s="1"/>
  <c r="K74" i="76"/>
  <c r="E74" i="76"/>
  <c r="H74" i="76"/>
  <c r="E73" i="76"/>
  <c r="K73" i="76"/>
  <c r="H73" i="76"/>
  <c r="E35" i="54"/>
  <c r="I35" i="54" s="1"/>
  <c r="C25" i="52" s="1"/>
  <c r="F119" i="76"/>
  <c r="E33" i="75"/>
  <c r="H33" i="75" s="1"/>
  <c r="D61" i="52" s="1"/>
  <c r="I73" i="76"/>
  <c r="F73" i="76"/>
  <c r="L73" i="76"/>
  <c r="O73" i="76"/>
  <c r="D120" i="76"/>
  <c r="E120" i="76"/>
  <c r="D34" i="75"/>
  <c r="C34" i="75"/>
  <c r="D74" i="76"/>
  <c r="J74" i="76"/>
  <c r="G74" i="76"/>
  <c r="G73" i="76"/>
  <c r="J73" i="76"/>
  <c r="D73" i="76"/>
  <c r="F35" i="67"/>
  <c r="H34" i="67"/>
  <c r="P34" i="67" s="1"/>
  <c r="G32" i="75"/>
  <c r="B6" i="67"/>
  <c r="D5" i="67"/>
  <c r="G6" i="67"/>
  <c r="I5" i="67"/>
  <c r="C6" i="67"/>
  <c r="E5" i="67"/>
  <c r="F6" i="67"/>
  <c r="H5" i="67"/>
  <c r="B34" i="67"/>
  <c r="C34" i="67"/>
  <c r="G35" i="67"/>
  <c r="I35" i="67" s="1"/>
  <c r="E34" i="67"/>
  <c r="O33" i="67"/>
  <c r="Q33" i="67"/>
  <c r="C36" i="54"/>
  <c r="D36" i="54"/>
  <c r="G112" i="52"/>
  <c r="H112" i="52"/>
  <c r="I33" i="75" l="1"/>
  <c r="E61" i="52" s="1"/>
  <c r="G34" i="75"/>
  <c r="C62" i="52" s="1"/>
  <c r="E121" i="76"/>
  <c r="D35" i="75"/>
  <c r="C35" i="75"/>
  <c r="D121" i="76"/>
  <c r="E36" i="54"/>
  <c r="I36" i="54" s="1"/>
  <c r="C26" i="52" s="1"/>
  <c r="F120" i="76"/>
  <c r="E34" i="75"/>
  <c r="H34" i="75" s="1"/>
  <c r="D62" i="52" s="1"/>
  <c r="C60" i="52"/>
  <c r="I32" i="75"/>
  <c r="E60" i="52" s="1"/>
  <c r="G75" i="76"/>
  <c r="J75" i="76"/>
  <c r="D75" i="76"/>
  <c r="L74" i="76"/>
  <c r="F74" i="76"/>
  <c r="O74" i="76"/>
  <c r="I74" i="76"/>
  <c r="F36" i="67"/>
  <c r="H35" i="67"/>
  <c r="P35" i="67" s="1"/>
  <c r="H75" i="76"/>
  <c r="E75" i="76"/>
  <c r="K75" i="76"/>
  <c r="C7" i="67"/>
  <c r="E6" i="67"/>
  <c r="B7" i="67"/>
  <c r="D6" i="67"/>
  <c r="F7" i="67"/>
  <c r="H6" i="67"/>
  <c r="G7" i="67"/>
  <c r="I6" i="67"/>
  <c r="C35" i="67"/>
  <c r="G36" i="67"/>
  <c r="I36" i="67" s="1"/>
  <c r="B35" i="67"/>
  <c r="E35" i="67"/>
  <c r="O34" i="67"/>
  <c r="Q34" i="67"/>
  <c r="D37" i="54"/>
  <c r="C37" i="54"/>
  <c r="B2" i="76"/>
  <c r="B2" i="75"/>
  <c r="D7" i="73"/>
  <c r="D6" i="73"/>
  <c r="D5" i="73"/>
  <c r="D4" i="73"/>
  <c r="G35" i="75" l="1"/>
  <c r="C63" i="52" s="1"/>
  <c r="E122" i="76"/>
  <c r="C36" i="75"/>
  <c r="D122" i="76"/>
  <c r="D36" i="75"/>
  <c r="G76" i="76"/>
  <c r="D76" i="76"/>
  <c r="J76" i="76"/>
  <c r="E37" i="54"/>
  <c r="I37" i="54" s="1"/>
  <c r="C27" i="52" s="1"/>
  <c r="F121" i="76"/>
  <c r="E35" i="75"/>
  <c r="H35" i="75" s="1"/>
  <c r="D63" i="52" s="1"/>
  <c r="F37" i="67"/>
  <c r="H36" i="67"/>
  <c r="P36" i="67" s="1"/>
  <c r="I34" i="75"/>
  <c r="E62" i="52" s="1"/>
  <c r="O75" i="76"/>
  <c r="L75" i="76"/>
  <c r="I75" i="76"/>
  <c r="F75" i="76"/>
  <c r="K76" i="76"/>
  <c r="H76" i="76"/>
  <c r="E76" i="76"/>
  <c r="F8" i="67"/>
  <c r="H7" i="67"/>
  <c r="C8" i="67"/>
  <c r="E7" i="67"/>
  <c r="G8" i="67"/>
  <c r="I7" i="67"/>
  <c r="B8" i="67"/>
  <c r="D7" i="67"/>
  <c r="C36" i="67"/>
  <c r="B36" i="67"/>
  <c r="G37" i="67"/>
  <c r="I37" i="67" s="1"/>
  <c r="E36" i="67"/>
  <c r="O35" i="67"/>
  <c r="Q35" i="67"/>
  <c r="D38" i="54"/>
  <c r="C38" i="54"/>
  <c r="C8" i="73"/>
  <c r="F7" i="54" l="1"/>
  <c r="C12" i="81"/>
  <c r="F8" i="54"/>
  <c r="I35" i="75"/>
  <c r="E63" i="52" s="1"/>
  <c r="D123" i="76"/>
  <c r="E123" i="76"/>
  <c r="C37" i="75"/>
  <c r="D37" i="75"/>
  <c r="E38" i="54"/>
  <c r="F122" i="76"/>
  <c r="E36" i="75"/>
  <c r="H36" i="75" s="1"/>
  <c r="D64" i="52" s="1"/>
  <c r="F38" i="67"/>
  <c r="H37" i="67"/>
  <c r="P37" i="67" s="1"/>
  <c r="G77" i="76"/>
  <c r="J77" i="76"/>
  <c r="D77" i="76"/>
  <c r="G36" i="75"/>
  <c r="F76" i="76"/>
  <c r="O76" i="76"/>
  <c r="I76" i="76"/>
  <c r="L76" i="76"/>
  <c r="K77" i="76"/>
  <c r="H77" i="76"/>
  <c r="E77" i="76"/>
  <c r="G9" i="67"/>
  <c r="I8" i="67"/>
  <c r="Q8" i="67" s="1"/>
  <c r="F9" i="67"/>
  <c r="H8" i="67"/>
  <c r="P8" i="67" s="1"/>
  <c r="B9" i="67"/>
  <c r="D8" i="67"/>
  <c r="N8" i="67" s="1"/>
  <c r="C9" i="67"/>
  <c r="E8" i="67"/>
  <c r="O8" i="67" s="1"/>
  <c r="G38" i="67"/>
  <c r="I38" i="67" s="1"/>
  <c r="B37" i="67"/>
  <c r="C37" i="67"/>
  <c r="E37" i="67"/>
  <c r="O36" i="67"/>
  <c r="Q36" i="67"/>
  <c r="I38" i="54"/>
  <c r="C28" i="52" s="1"/>
  <c r="D39" i="54"/>
  <c r="C39" i="54"/>
  <c r="C7" i="80" l="1"/>
  <c r="C7" i="83"/>
  <c r="D124" i="76"/>
  <c r="E124" i="76"/>
  <c r="D38" i="75"/>
  <c r="C38" i="75"/>
  <c r="E39" i="54"/>
  <c r="E37" i="75"/>
  <c r="H37" i="75" s="1"/>
  <c r="D65" i="52" s="1"/>
  <c r="F123" i="76"/>
  <c r="F39" i="67"/>
  <c r="H38" i="67"/>
  <c r="P38" i="67" s="1"/>
  <c r="G37" i="75"/>
  <c r="I77" i="76"/>
  <c r="F77" i="76"/>
  <c r="L77" i="76"/>
  <c r="O77" i="76"/>
  <c r="E78" i="76"/>
  <c r="H78" i="76"/>
  <c r="K78" i="76"/>
  <c r="C64" i="52"/>
  <c r="I36" i="75"/>
  <c r="E64" i="52" s="1"/>
  <c r="D78" i="76"/>
  <c r="J78" i="76"/>
  <c r="G78" i="76"/>
  <c r="C10" i="67"/>
  <c r="E9" i="67"/>
  <c r="O9" i="67" s="1"/>
  <c r="B10" i="67"/>
  <c r="D9" i="67"/>
  <c r="G10" i="67"/>
  <c r="I9" i="67"/>
  <c r="Q9" i="67" s="1"/>
  <c r="F10" i="67"/>
  <c r="H9" i="67"/>
  <c r="P9" i="67" s="1"/>
  <c r="B38" i="67"/>
  <c r="G39" i="67"/>
  <c r="I39" i="67" s="1"/>
  <c r="C38" i="67"/>
  <c r="E38" i="67"/>
  <c r="O37" i="67"/>
  <c r="Q37" i="67"/>
  <c r="I39" i="54"/>
  <c r="C29" i="52" s="1"/>
  <c r="D40" i="54"/>
  <c r="C40" i="54"/>
  <c r="G38" i="75" l="1"/>
  <c r="C66" i="52" s="1"/>
  <c r="F40" i="67"/>
  <c r="H39" i="67"/>
  <c r="P39" i="67" s="1"/>
  <c r="L78" i="76"/>
  <c r="F78" i="76"/>
  <c r="O78" i="76"/>
  <c r="I78" i="76"/>
  <c r="E125" i="76"/>
  <c r="D125" i="76"/>
  <c r="D39" i="75"/>
  <c r="C39" i="75"/>
  <c r="E40" i="54"/>
  <c r="F124" i="76"/>
  <c r="E38" i="75"/>
  <c r="H38" i="75" s="1"/>
  <c r="D66" i="52" s="1"/>
  <c r="C65" i="52"/>
  <c r="I37" i="75"/>
  <c r="E65" i="52" s="1"/>
  <c r="H79" i="76"/>
  <c r="K79" i="76"/>
  <c r="E79" i="76"/>
  <c r="J79" i="76"/>
  <c r="D79" i="76"/>
  <c r="G79" i="76"/>
  <c r="F11" i="67"/>
  <c r="H10" i="67"/>
  <c r="P10" i="67" s="1"/>
  <c r="C11" i="67"/>
  <c r="E10" i="67"/>
  <c r="G11" i="67"/>
  <c r="I10" i="67"/>
  <c r="Q10" i="67" s="1"/>
  <c r="B11" i="67"/>
  <c r="D10" i="67"/>
  <c r="G40" i="67"/>
  <c r="I40" i="67" s="1"/>
  <c r="B39" i="67"/>
  <c r="C39" i="67"/>
  <c r="E39" i="67"/>
  <c r="O38" i="67"/>
  <c r="I40" i="54"/>
  <c r="C30" i="52" s="1"/>
  <c r="Q38" i="67"/>
  <c r="D41" i="54"/>
  <c r="C41" i="54"/>
  <c r="G39" i="75" l="1"/>
  <c r="E41" i="54"/>
  <c r="I41" i="54" s="1"/>
  <c r="C31" i="52" s="1"/>
  <c r="F125" i="76"/>
  <c r="E39" i="75"/>
  <c r="H39" i="75" s="1"/>
  <c r="D67" i="52" s="1"/>
  <c r="C67" i="52"/>
  <c r="D126" i="76"/>
  <c r="D40" i="75"/>
  <c r="E126" i="76"/>
  <c r="C40" i="75"/>
  <c r="I38" i="75"/>
  <c r="E66" i="52" s="1"/>
  <c r="L79" i="76"/>
  <c r="O79" i="76"/>
  <c r="I79" i="76"/>
  <c r="F79" i="76"/>
  <c r="D80" i="76"/>
  <c r="J80" i="76"/>
  <c r="G80" i="76"/>
  <c r="K80" i="76"/>
  <c r="E80" i="76"/>
  <c r="H80" i="76"/>
  <c r="F41" i="67"/>
  <c r="H40" i="67"/>
  <c r="P40" i="67" s="1"/>
  <c r="G12" i="67"/>
  <c r="I11" i="67"/>
  <c r="Q11" i="67" s="1"/>
  <c r="F12" i="67"/>
  <c r="H11" i="67"/>
  <c r="P11" i="67" s="1"/>
  <c r="B12" i="67"/>
  <c r="D11" i="67"/>
  <c r="O10" i="67"/>
  <c r="C12" i="67"/>
  <c r="E11" i="67"/>
  <c r="B40" i="67"/>
  <c r="C40" i="67"/>
  <c r="G41" i="67"/>
  <c r="I41" i="67" s="1"/>
  <c r="E40" i="67"/>
  <c r="O39" i="67"/>
  <c r="Q39" i="67"/>
  <c r="D42" i="54"/>
  <c r="C42" i="54"/>
  <c r="E42" i="54" l="1"/>
  <c r="I42" i="54" s="1"/>
  <c r="C32" i="52" s="1"/>
  <c r="F126" i="76"/>
  <c r="E40" i="75"/>
  <c r="H40" i="75" s="1"/>
  <c r="D68" i="52" s="1"/>
  <c r="E81" i="76"/>
  <c r="K81" i="76"/>
  <c r="H81" i="76"/>
  <c r="D127" i="76"/>
  <c r="C41" i="75"/>
  <c r="G41" i="75" s="1"/>
  <c r="D41" i="75"/>
  <c r="E127" i="76"/>
  <c r="G81" i="76"/>
  <c r="J81" i="76"/>
  <c r="D81" i="76"/>
  <c r="F80" i="76"/>
  <c r="O80" i="76"/>
  <c r="I80" i="76"/>
  <c r="L80" i="76"/>
  <c r="F42" i="67"/>
  <c r="H41" i="67"/>
  <c r="P41" i="67" s="1"/>
  <c r="G40" i="75"/>
  <c r="I39" i="75"/>
  <c r="E67" i="52" s="1"/>
  <c r="B13" i="67"/>
  <c r="D12" i="67"/>
  <c r="G13" i="67"/>
  <c r="I12" i="67"/>
  <c r="Q12" i="67" s="1"/>
  <c r="O11" i="67"/>
  <c r="C13" i="67"/>
  <c r="E12" i="67"/>
  <c r="F13" i="67"/>
  <c r="H12" i="67"/>
  <c r="P12" i="67" s="1"/>
  <c r="B41" i="67"/>
  <c r="C41" i="67"/>
  <c r="G42" i="67"/>
  <c r="I42" i="67" s="1"/>
  <c r="E41" i="67"/>
  <c r="O40" i="67"/>
  <c r="Q40" i="67"/>
  <c r="D43" i="54"/>
  <c r="C43" i="54"/>
  <c r="D128" i="76" l="1"/>
  <c r="E128" i="76"/>
  <c r="D42" i="75"/>
  <c r="C42" i="75"/>
  <c r="G42" i="75" s="1"/>
  <c r="C68" i="52"/>
  <c r="I40" i="75"/>
  <c r="E68" i="52" s="1"/>
  <c r="C69" i="52"/>
  <c r="I41" i="75"/>
  <c r="E69" i="52" s="1"/>
  <c r="E43" i="54"/>
  <c r="F127" i="76"/>
  <c r="E41" i="75"/>
  <c r="H41" i="75" s="1"/>
  <c r="D69" i="52" s="1"/>
  <c r="G82" i="76"/>
  <c r="D82" i="76"/>
  <c r="J82" i="76"/>
  <c r="F43" i="67"/>
  <c r="H42" i="67"/>
  <c r="P42" i="67" s="1"/>
  <c r="K82" i="76"/>
  <c r="E82" i="76"/>
  <c r="H82" i="76"/>
  <c r="I81" i="76"/>
  <c r="F81" i="76"/>
  <c r="O81" i="76"/>
  <c r="L81" i="76"/>
  <c r="C14" i="67"/>
  <c r="E13" i="67"/>
  <c r="G14" i="67"/>
  <c r="I13" i="67"/>
  <c r="B14" i="67"/>
  <c r="D13" i="67"/>
  <c r="F14" i="67"/>
  <c r="H13" i="67"/>
  <c r="O12" i="67"/>
  <c r="C42" i="67"/>
  <c r="G43" i="67"/>
  <c r="I43" i="67" s="1"/>
  <c r="B42" i="67"/>
  <c r="I43" i="54"/>
  <c r="C33" i="52" s="1"/>
  <c r="E42" i="67"/>
  <c r="O41" i="67"/>
  <c r="Q41" i="67"/>
  <c r="D44" i="54"/>
  <c r="C44" i="54"/>
  <c r="A300" i="52"/>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P13" i="67" l="1"/>
  <c r="D100" i="76" s="1"/>
  <c r="Q13" i="67"/>
  <c r="E16" i="54" s="1"/>
  <c r="E129" i="76"/>
  <c r="D43" i="75"/>
  <c r="D129" i="76"/>
  <c r="C43" i="75"/>
  <c r="C70" i="52"/>
  <c r="E100" i="76"/>
  <c r="D14" i="75"/>
  <c r="C14" i="75"/>
  <c r="F44" i="67"/>
  <c r="H43" i="67"/>
  <c r="P43" i="67" s="1"/>
  <c r="L82" i="76"/>
  <c r="F36" i="76" s="1"/>
  <c r="F82" i="76"/>
  <c r="O82" i="76"/>
  <c r="I82" i="76"/>
  <c r="H83" i="76"/>
  <c r="E83" i="76"/>
  <c r="K83" i="76"/>
  <c r="E44" i="54"/>
  <c r="I44" i="54" s="1"/>
  <c r="C34" i="52" s="1"/>
  <c r="F128" i="76"/>
  <c r="E42" i="75"/>
  <c r="H42" i="75" s="1"/>
  <c r="D70" i="52" s="1"/>
  <c r="D83" i="76"/>
  <c r="G83" i="76"/>
  <c r="J83" i="76"/>
  <c r="D16" i="54"/>
  <c r="C16" i="54"/>
  <c r="B15" i="67"/>
  <c r="D14" i="67"/>
  <c r="G15" i="67"/>
  <c r="I14" i="67"/>
  <c r="F15" i="67"/>
  <c r="H14" i="67"/>
  <c r="O13" i="67"/>
  <c r="C15" i="67"/>
  <c r="E14" i="67"/>
  <c r="A330" i="52"/>
  <c r="A331" i="52" s="1"/>
  <c r="A332" i="52" s="1"/>
  <c r="B43" i="67"/>
  <c r="C43" i="67"/>
  <c r="G44" i="67"/>
  <c r="I44" i="67" s="1"/>
  <c r="O42" i="67"/>
  <c r="E43" i="67"/>
  <c r="Q42" i="67"/>
  <c r="C45" i="54"/>
  <c r="D45" i="54"/>
  <c r="B300" i="52"/>
  <c r="B301" i="52" s="1"/>
  <c r="B302" i="52" s="1"/>
  <c r="B303" i="52" s="1"/>
  <c r="B304" i="52" s="1"/>
  <c r="B305" i="52" s="1"/>
  <c r="B306" i="52" s="1"/>
  <c r="B307" i="52" s="1"/>
  <c r="B308" i="52" s="1"/>
  <c r="B309" i="52" s="1"/>
  <c r="B310" i="52" s="1"/>
  <c r="B311" i="52" s="1"/>
  <c r="B312" i="52" s="1"/>
  <c r="B313" i="52" s="1"/>
  <c r="B314" i="52" s="1"/>
  <c r="B315" i="52" s="1"/>
  <c r="B316" i="52" s="1"/>
  <c r="B317" i="52" s="1"/>
  <c r="B318" i="52" s="1"/>
  <c r="B319" i="52" s="1"/>
  <c r="B320" i="52" s="1"/>
  <c r="B321" i="52" s="1"/>
  <c r="B322" i="52" s="1"/>
  <c r="B323" i="52" s="1"/>
  <c r="B324" i="52" s="1"/>
  <c r="B325" i="52" s="1"/>
  <c r="B326" i="52" s="1"/>
  <c r="B327" i="52" s="1"/>
  <c r="B328" i="52" s="1"/>
  <c r="B329" i="52" s="1"/>
  <c r="B330" i="52" s="1"/>
  <c r="B331" i="52" s="1"/>
  <c r="B332" i="52" s="1"/>
  <c r="F100" i="76" l="1"/>
  <c r="E14" i="75"/>
  <c r="H14" i="75" s="1"/>
  <c r="D42" i="52" s="1"/>
  <c r="Q14" i="67"/>
  <c r="F101" i="76" s="1"/>
  <c r="P14" i="67"/>
  <c r="E101" i="76" s="1"/>
  <c r="I16" i="54"/>
  <c r="C6" i="52" s="1"/>
  <c r="G55" i="76"/>
  <c r="D55" i="76"/>
  <c r="G43" i="75"/>
  <c r="G14" i="75"/>
  <c r="H55" i="76"/>
  <c r="E55" i="76"/>
  <c r="K55" i="76"/>
  <c r="E130" i="76"/>
  <c r="D130" i="76"/>
  <c r="D44" i="75"/>
  <c r="C44" i="75"/>
  <c r="E17" i="54"/>
  <c r="E15" i="75"/>
  <c r="H15" i="75" s="1"/>
  <c r="D43" i="52" s="1"/>
  <c r="J55" i="76"/>
  <c r="G84" i="76"/>
  <c r="D84" i="76"/>
  <c r="J84" i="76"/>
  <c r="E45" i="54"/>
  <c r="I45" i="54" s="1"/>
  <c r="F129" i="76"/>
  <c r="E43" i="75"/>
  <c r="H43" i="75" s="1"/>
  <c r="F45" i="67"/>
  <c r="H44" i="67"/>
  <c r="P44" i="67" s="1"/>
  <c r="I42" i="75"/>
  <c r="E70" i="52" s="1"/>
  <c r="D101" i="76"/>
  <c r="F83" i="76"/>
  <c r="O83" i="76"/>
  <c r="I83" i="76"/>
  <c r="L83" i="76"/>
  <c r="L55" i="76"/>
  <c r="I55" i="76"/>
  <c r="O55" i="76"/>
  <c r="F55" i="76"/>
  <c r="K84" i="76"/>
  <c r="E84" i="76"/>
  <c r="H84" i="76"/>
  <c r="O14" i="67"/>
  <c r="B16" i="67"/>
  <c r="D15" i="67"/>
  <c r="C16" i="67"/>
  <c r="E15" i="67"/>
  <c r="G16" i="67"/>
  <c r="I15" i="67"/>
  <c r="D17" i="54"/>
  <c r="F16" i="67"/>
  <c r="H15" i="67"/>
  <c r="G45" i="67"/>
  <c r="I45" i="67" s="1"/>
  <c r="C44" i="67"/>
  <c r="B44" i="67"/>
  <c r="E44" i="67"/>
  <c r="O43" i="67"/>
  <c r="Q43" i="67"/>
  <c r="D46" i="54"/>
  <c r="C46" i="54"/>
  <c r="I14" i="75" l="1"/>
  <c r="E42" i="52" s="1"/>
  <c r="C15" i="75"/>
  <c r="C17" i="54"/>
  <c r="D15" i="75"/>
  <c r="P15" i="67"/>
  <c r="E102" i="76" s="1"/>
  <c r="Q15" i="67"/>
  <c r="E16" i="75" s="1"/>
  <c r="H16" i="75" s="1"/>
  <c r="D44" i="52" s="1"/>
  <c r="C42" i="52"/>
  <c r="D131" i="76"/>
  <c r="E131" i="76"/>
  <c r="C45" i="75"/>
  <c r="D45" i="75"/>
  <c r="J56" i="76"/>
  <c r="D56" i="76"/>
  <c r="G56" i="76"/>
  <c r="F84" i="76"/>
  <c r="O84" i="76"/>
  <c r="I84" i="76"/>
  <c r="L84" i="76"/>
  <c r="E56" i="76"/>
  <c r="H56" i="76"/>
  <c r="K56" i="76"/>
  <c r="F56" i="76"/>
  <c r="L56" i="76"/>
  <c r="I56" i="76"/>
  <c r="O56" i="76"/>
  <c r="G85" i="76"/>
  <c r="J85" i="76"/>
  <c r="D85" i="76"/>
  <c r="E46" i="54"/>
  <c r="I46" i="54" s="1"/>
  <c r="F130" i="76"/>
  <c r="E44" i="75"/>
  <c r="H44" i="75" s="1"/>
  <c r="C16" i="75"/>
  <c r="F46" i="67"/>
  <c r="H45" i="67"/>
  <c r="P45" i="67" s="1"/>
  <c r="K85" i="76"/>
  <c r="H85" i="76"/>
  <c r="E85" i="76"/>
  <c r="G44" i="75"/>
  <c r="I43" i="75"/>
  <c r="G17" i="67"/>
  <c r="I16" i="67"/>
  <c r="C17" i="67"/>
  <c r="E16" i="67"/>
  <c r="B17" i="67"/>
  <c r="D16" i="67"/>
  <c r="F17" i="67"/>
  <c r="H16" i="67"/>
  <c r="O15" i="67"/>
  <c r="B45" i="67"/>
  <c r="C45" i="67"/>
  <c r="G46" i="67"/>
  <c r="I46" i="67" s="1"/>
  <c r="O44" i="67"/>
  <c r="E45" i="67"/>
  <c r="Q44" i="67"/>
  <c r="D47" i="54"/>
  <c r="C47" i="54"/>
  <c r="H19" i="63"/>
  <c r="G15" i="75" l="1"/>
  <c r="C43" i="52" s="1"/>
  <c r="C18" i="54"/>
  <c r="F102" i="76"/>
  <c r="O57" i="76" s="1"/>
  <c r="D16" i="75"/>
  <c r="G16" i="75" s="1"/>
  <c r="C44" i="52" s="1"/>
  <c r="I17" i="54"/>
  <c r="C7" i="52" s="1"/>
  <c r="P16" i="67"/>
  <c r="D17" i="75" s="1"/>
  <c r="Q16" i="67"/>
  <c r="F103" i="76" s="1"/>
  <c r="E18" i="54"/>
  <c r="D102" i="76"/>
  <c r="J57" i="76" s="1"/>
  <c r="D18" i="54"/>
  <c r="D132" i="76"/>
  <c r="E132" i="76"/>
  <c r="D46" i="75"/>
  <c r="C46" i="75"/>
  <c r="H57" i="76"/>
  <c r="E57" i="76"/>
  <c r="K57" i="76"/>
  <c r="I85" i="76"/>
  <c r="L85" i="76"/>
  <c r="O85" i="76"/>
  <c r="F85" i="76"/>
  <c r="G45" i="75"/>
  <c r="I44" i="75"/>
  <c r="F47" i="67"/>
  <c r="H46" i="67"/>
  <c r="E86" i="76"/>
  <c r="H86" i="76"/>
  <c r="K86" i="76"/>
  <c r="E47" i="54"/>
  <c r="E45" i="75"/>
  <c r="H45" i="75" s="1"/>
  <c r="F131" i="76"/>
  <c r="D86" i="76"/>
  <c r="J86" i="76"/>
  <c r="G86" i="76"/>
  <c r="O16" i="67"/>
  <c r="C18" i="67"/>
  <c r="E17" i="67"/>
  <c r="F18" i="67"/>
  <c r="H17" i="67"/>
  <c r="B18" i="67"/>
  <c r="D17" i="67"/>
  <c r="G18" i="67"/>
  <c r="I17" i="67"/>
  <c r="C46" i="67"/>
  <c r="B46" i="67"/>
  <c r="G47" i="67"/>
  <c r="I47" i="67" s="1"/>
  <c r="I47" i="54"/>
  <c r="E46" i="67"/>
  <c r="O45" i="67"/>
  <c r="Q45" i="67"/>
  <c r="D48" i="54"/>
  <c r="C48" i="54"/>
  <c r="P46" i="67"/>
  <c r="I19" i="63"/>
  <c r="I15" i="75" l="1"/>
  <c r="E43" i="52" s="1"/>
  <c r="D57" i="76"/>
  <c r="E17" i="75"/>
  <c r="H17" i="75" s="1"/>
  <c r="D45" i="52" s="1"/>
  <c r="I57" i="76"/>
  <c r="D103" i="76"/>
  <c r="D58" i="76" s="1"/>
  <c r="F57" i="76"/>
  <c r="D19" i="54"/>
  <c r="E103" i="76"/>
  <c r="E58" i="76" s="1"/>
  <c r="L57" i="76"/>
  <c r="C19" i="54"/>
  <c r="C17" i="75"/>
  <c r="G17" i="75" s="1"/>
  <c r="I16" i="75"/>
  <c r="E44" i="52" s="1"/>
  <c r="G57" i="76"/>
  <c r="I18" i="54"/>
  <c r="C8" i="52" s="1"/>
  <c r="E19" i="54"/>
  <c r="Q17" i="67"/>
  <c r="E20" i="54" s="1"/>
  <c r="P17" i="67"/>
  <c r="E104" i="76" s="1"/>
  <c r="G46" i="75"/>
  <c r="E133" i="76"/>
  <c r="D133" i="76"/>
  <c r="D47" i="75"/>
  <c r="C47" i="75"/>
  <c r="D104" i="76"/>
  <c r="L86" i="76"/>
  <c r="F86" i="76"/>
  <c r="O86" i="76"/>
  <c r="I86" i="76"/>
  <c r="H58" i="76"/>
  <c r="F58" i="76"/>
  <c r="L58" i="76"/>
  <c r="I58" i="76"/>
  <c r="O58" i="76"/>
  <c r="I45" i="75"/>
  <c r="H87" i="76"/>
  <c r="E87" i="76"/>
  <c r="K87" i="76"/>
  <c r="E48" i="54"/>
  <c r="I48" i="54" s="1"/>
  <c r="E46" i="75"/>
  <c r="H46" i="75" s="1"/>
  <c r="F132" i="76"/>
  <c r="J58" i="76"/>
  <c r="F48" i="67"/>
  <c r="H47" i="67"/>
  <c r="G87" i="76"/>
  <c r="J87" i="76"/>
  <c r="D87" i="76"/>
  <c r="B19" i="67"/>
  <c r="D18" i="67"/>
  <c r="G19" i="67"/>
  <c r="I18" i="67"/>
  <c r="O17" i="67"/>
  <c r="F19" i="67"/>
  <c r="H18" i="67"/>
  <c r="C19" i="67"/>
  <c r="E18" i="67"/>
  <c r="B47" i="67"/>
  <c r="G48" i="67"/>
  <c r="I48" i="67" s="1"/>
  <c r="C47" i="67"/>
  <c r="E47" i="67"/>
  <c r="O46" i="67"/>
  <c r="Q46" i="67"/>
  <c r="D49" i="54"/>
  <c r="C49" i="54"/>
  <c r="P47" i="67"/>
  <c r="J19" i="63"/>
  <c r="G58" i="76" l="1"/>
  <c r="I19" i="54"/>
  <c r="C9" i="52" s="1"/>
  <c r="D18" i="75"/>
  <c r="K58" i="76"/>
  <c r="F104" i="76"/>
  <c r="F59" i="76" s="1"/>
  <c r="D20" i="54"/>
  <c r="C18" i="75"/>
  <c r="E18" i="75"/>
  <c r="H18" i="75" s="1"/>
  <c r="D46" i="52" s="1"/>
  <c r="C20" i="54"/>
  <c r="I46" i="75"/>
  <c r="P18" i="67"/>
  <c r="D19" i="75" s="1"/>
  <c r="G47" i="75"/>
  <c r="Q18" i="67"/>
  <c r="F105" i="76" s="1"/>
  <c r="O87" i="76"/>
  <c r="I87" i="76"/>
  <c r="L87" i="76"/>
  <c r="F87" i="76"/>
  <c r="D59" i="76"/>
  <c r="J59" i="76"/>
  <c r="G59" i="76"/>
  <c r="E49" i="54"/>
  <c r="I49" i="54" s="1"/>
  <c r="F133" i="76"/>
  <c r="E47" i="75"/>
  <c r="H47" i="75" s="1"/>
  <c r="D134" i="76"/>
  <c r="E134" i="76"/>
  <c r="D48" i="75"/>
  <c r="C48" i="75"/>
  <c r="L59" i="76"/>
  <c r="O59" i="76"/>
  <c r="G88" i="76"/>
  <c r="D88" i="76"/>
  <c r="J88" i="76"/>
  <c r="F49" i="67"/>
  <c r="H48" i="67"/>
  <c r="P48" i="67" s="1"/>
  <c r="C45" i="52"/>
  <c r="I17" i="75"/>
  <c r="E45" i="52" s="1"/>
  <c r="H59" i="76"/>
  <c r="E59" i="76"/>
  <c r="K59" i="76"/>
  <c r="K88" i="76"/>
  <c r="E88" i="76"/>
  <c r="H88" i="76"/>
  <c r="O18" i="67"/>
  <c r="F20" i="67"/>
  <c r="H19" i="67"/>
  <c r="C20" i="67"/>
  <c r="E19" i="67"/>
  <c r="G20" i="67"/>
  <c r="I19" i="67"/>
  <c r="B20" i="67"/>
  <c r="D19" i="67"/>
  <c r="G49" i="67"/>
  <c r="I49" i="67" s="1"/>
  <c r="C48" i="67"/>
  <c r="B48" i="67"/>
  <c r="E48" i="67"/>
  <c r="O47" i="67"/>
  <c r="Q47" i="67"/>
  <c r="C50" i="54"/>
  <c r="D50" i="54"/>
  <c r="K19" i="63"/>
  <c r="C19" i="75" l="1"/>
  <c r="D21" i="54"/>
  <c r="E105" i="76"/>
  <c r="E60" i="76" s="1"/>
  <c r="G18" i="75"/>
  <c r="I18" i="75" s="1"/>
  <c r="E46" i="52" s="1"/>
  <c r="I59" i="76"/>
  <c r="I20" i="54"/>
  <c r="C10" i="52" s="1"/>
  <c r="E19" i="75"/>
  <c r="H19" i="75" s="1"/>
  <c r="D47" i="52" s="1"/>
  <c r="C46" i="52"/>
  <c r="C21" i="54"/>
  <c r="D105" i="76"/>
  <c r="G60" i="76" s="1"/>
  <c r="E21" i="54"/>
  <c r="Q19" i="67"/>
  <c r="F106" i="76" s="1"/>
  <c r="P19" i="67"/>
  <c r="E106" i="76" s="1"/>
  <c r="G19" i="75"/>
  <c r="C47" i="52" s="1"/>
  <c r="G48" i="75"/>
  <c r="D20" i="75"/>
  <c r="E89" i="76"/>
  <c r="K89" i="76"/>
  <c r="H89" i="76"/>
  <c r="F60" i="76"/>
  <c r="L60" i="76"/>
  <c r="I60" i="76"/>
  <c r="O60" i="76"/>
  <c r="J89" i="76"/>
  <c r="D89" i="76"/>
  <c r="G89" i="76"/>
  <c r="F88" i="76"/>
  <c r="O88" i="76"/>
  <c r="I88" i="76"/>
  <c r="L88" i="76"/>
  <c r="D135" i="76"/>
  <c r="C49" i="75"/>
  <c r="E135" i="76"/>
  <c r="D49" i="75"/>
  <c r="E22" i="54"/>
  <c r="E50" i="54"/>
  <c r="I50" i="54" s="1"/>
  <c r="F134" i="76"/>
  <c r="E48" i="75"/>
  <c r="H48" i="75" s="1"/>
  <c r="F50" i="67"/>
  <c r="H49" i="67"/>
  <c r="P49" i="67" s="1"/>
  <c r="I47" i="75"/>
  <c r="B21" i="67"/>
  <c r="D20" i="67"/>
  <c r="G21" i="67"/>
  <c r="I20" i="67"/>
  <c r="C22" i="54"/>
  <c r="F21" i="67"/>
  <c r="P20" i="67"/>
  <c r="O19" i="67"/>
  <c r="C21" i="67"/>
  <c r="E20" i="67"/>
  <c r="C49" i="67"/>
  <c r="G50" i="67"/>
  <c r="I50" i="67" s="1"/>
  <c r="B49" i="67"/>
  <c r="E49" i="67"/>
  <c r="O48" i="67"/>
  <c r="Q48" i="67"/>
  <c r="D51" i="54"/>
  <c r="C51" i="54"/>
  <c r="L19" i="63"/>
  <c r="H60" i="76" l="1"/>
  <c r="K60" i="76"/>
  <c r="D60" i="76"/>
  <c r="J60" i="76"/>
  <c r="I21" i="54"/>
  <c r="C11" i="52" s="1"/>
  <c r="I19" i="75"/>
  <c r="E47" i="52" s="1"/>
  <c r="E20" i="75"/>
  <c r="H20" i="75" s="1"/>
  <c r="D48" i="52" s="1"/>
  <c r="C20" i="75"/>
  <c r="G20" i="75" s="1"/>
  <c r="Q20" i="67"/>
  <c r="E21" i="75" s="1"/>
  <c r="H21" i="75" s="1"/>
  <c r="D49" i="52" s="1"/>
  <c r="D106" i="76"/>
  <c r="D61" i="76" s="1"/>
  <c r="D22" i="54"/>
  <c r="G49" i="75"/>
  <c r="D136" i="76"/>
  <c r="E136" i="76"/>
  <c r="D50" i="75"/>
  <c r="C50" i="75"/>
  <c r="E51" i="54"/>
  <c r="I51" i="54" s="1"/>
  <c r="F135" i="76"/>
  <c r="E49" i="75"/>
  <c r="H49" i="75" s="1"/>
  <c r="I61" i="76"/>
  <c r="O61" i="76"/>
  <c r="F61" i="76"/>
  <c r="L61" i="76"/>
  <c r="D107" i="76"/>
  <c r="E107" i="76"/>
  <c r="C21" i="75"/>
  <c r="D21" i="75"/>
  <c r="F107" i="76"/>
  <c r="I89" i="76"/>
  <c r="O89" i="76"/>
  <c r="F89" i="76"/>
  <c r="L89" i="76"/>
  <c r="I48" i="75"/>
  <c r="D90" i="76"/>
  <c r="J90" i="76"/>
  <c r="G90" i="76"/>
  <c r="F51" i="67"/>
  <c r="H50" i="67"/>
  <c r="P50" i="67" s="1"/>
  <c r="K90" i="76"/>
  <c r="E90" i="76"/>
  <c r="H90" i="76"/>
  <c r="K61" i="76"/>
  <c r="H61" i="76"/>
  <c r="E61" i="76"/>
  <c r="O20" i="67"/>
  <c r="C22" i="67"/>
  <c r="E21" i="67"/>
  <c r="C23" i="54"/>
  <c r="D23" i="54"/>
  <c r="F22" i="67"/>
  <c r="H21" i="67"/>
  <c r="G22" i="67"/>
  <c r="I21" i="67"/>
  <c r="B22" i="67"/>
  <c r="D21" i="67"/>
  <c r="B50" i="67"/>
  <c r="B51" i="67" s="1"/>
  <c r="B52" i="67" s="1"/>
  <c r="C50" i="67"/>
  <c r="C51" i="67" s="1"/>
  <c r="C52" i="67" s="1"/>
  <c r="G51" i="67"/>
  <c r="I51" i="67" s="1"/>
  <c r="O49" i="67"/>
  <c r="E50" i="67"/>
  <c r="Q49" i="67"/>
  <c r="D52" i="54"/>
  <c r="C52" i="54"/>
  <c r="I49" i="75" l="1"/>
  <c r="E23" i="54"/>
  <c r="I23" i="54" s="1"/>
  <c r="C13" i="52" s="1"/>
  <c r="G50" i="75"/>
  <c r="J61" i="76"/>
  <c r="I22" i="54"/>
  <c r="C12" i="52" s="1"/>
  <c r="Q21" i="67"/>
  <c r="E24" i="54" s="1"/>
  <c r="P21" i="67"/>
  <c r="E108" i="76" s="1"/>
  <c r="G61" i="76"/>
  <c r="G21" i="75"/>
  <c r="I21" i="75" s="1"/>
  <c r="E49" i="52" s="1"/>
  <c r="E52" i="54"/>
  <c r="I52" i="54" s="1"/>
  <c r="F136" i="76"/>
  <c r="E50" i="75"/>
  <c r="H50" i="75" s="1"/>
  <c r="D108" i="76"/>
  <c r="C48" i="52"/>
  <c r="I20" i="75"/>
  <c r="E48" i="52" s="1"/>
  <c r="F52" i="67"/>
  <c r="H52" i="67" s="1"/>
  <c r="P52" i="67" s="1"/>
  <c r="H51" i="67"/>
  <c r="P51" i="67" s="1"/>
  <c r="L62" i="76"/>
  <c r="F62" i="76"/>
  <c r="O62" i="76"/>
  <c r="I62" i="76"/>
  <c r="E62" i="76"/>
  <c r="K62" i="76"/>
  <c r="H62" i="76"/>
  <c r="F108" i="76"/>
  <c r="E22" i="75"/>
  <c r="H22" i="75" s="1"/>
  <c r="D50" i="52" s="1"/>
  <c r="D62" i="76"/>
  <c r="J62" i="76"/>
  <c r="G62" i="76"/>
  <c r="L90" i="76"/>
  <c r="F90" i="76"/>
  <c r="O90" i="76"/>
  <c r="I90" i="76"/>
  <c r="H91" i="76"/>
  <c r="K91" i="76"/>
  <c r="E91" i="76"/>
  <c r="E137" i="76"/>
  <c r="D51" i="75"/>
  <c r="C51" i="75"/>
  <c r="D137" i="76"/>
  <c r="G91" i="76"/>
  <c r="J91" i="76"/>
  <c r="D91" i="76"/>
  <c r="F23" i="67"/>
  <c r="H22" i="67"/>
  <c r="O21" i="67"/>
  <c r="C23" i="67"/>
  <c r="E22" i="67"/>
  <c r="G23" i="67"/>
  <c r="I22" i="67"/>
  <c r="B23" i="67"/>
  <c r="D22" i="67"/>
  <c r="G52" i="67"/>
  <c r="I52" i="67" s="1"/>
  <c r="E51" i="67"/>
  <c r="O50" i="67"/>
  <c r="Q50" i="67"/>
  <c r="C53" i="54"/>
  <c r="D53" i="54"/>
  <c r="C15" i="63"/>
  <c r="C49" i="52" l="1"/>
  <c r="C24" i="54"/>
  <c r="D24" i="54"/>
  <c r="C22" i="75"/>
  <c r="D22" i="75"/>
  <c r="Q22" i="67"/>
  <c r="E25" i="54" s="1"/>
  <c r="P22" i="67"/>
  <c r="E109" i="76" s="1"/>
  <c r="G51" i="75"/>
  <c r="K92" i="76"/>
  <c r="H92" i="76"/>
  <c r="E92" i="76"/>
  <c r="O63" i="76"/>
  <c r="F63" i="76"/>
  <c r="L63" i="76"/>
  <c r="I63" i="76"/>
  <c r="J63" i="76"/>
  <c r="D63" i="76"/>
  <c r="G63" i="76"/>
  <c r="E138" i="76"/>
  <c r="D52" i="75"/>
  <c r="C52" i="75"/>
  <c r="D138" i="76"/>
  <c r="E53" i="54"/>
  <c r="I53" i="54" s="1"/>
  <c r="F137" i="76"/>
  <c r="E51" i="75"/>
  <c r="H51" i="75" s="1"/>
  <c r="G92" i="76"/>
  <c r="D92" i="76"/>
  <c r="J92" i="76"/>
  <c r="D139" i="76"/>
  <c r="E139" i="76"/>
  <c r="C53" i="75"/>
  <c r="D53" i="75"/>
  <c r="I50" i="75"/>
  <c r="O91" i="76"/>
  <c r="F91" i="76"/>
  <c r="L91" i="76"/>
  <c r="I91" i="76"/>
  <c r="H63" i="76"/>
  <c r="E63" i="76"/>
  <c r="K63" i="76"/>
  <c r="B24" i="67"/>
  <c r="D23" i="67"/>
  <c r="O22" i="67"/>
  <c r="C24" i="67"/>
  <c r="E23" i="67"/>
  <c r="F24" i="67"/>
  <c r="H23" i="67"/>
  <c r="G24" i="67"/>
  <c r="I23" i="67"/>
  <c r="E52" i="67"/>
  <c r="O52" i="67" s="1"/>
  <c r="O51" i="67"/>
  <c r="Q51" i="67"/>
  <c r="C54" i="54"/>
  <c r="D54" i="54"/>
  <c r="C55" i="54"/>
  <c r="D55" i="54"/>
  <c r="X92" i="36"/>
  <c r="I24" i="54" l="1"/>
  <c r="C14" i="52" s="1"/>
  <c r="G22" i="75"/>
  <c r="D25" i="54"/>
  <c r="C23" i="75"/>
  <c r="D109" i="76"/>
  <c r="D64" i="76" s="1"/>
  <c r="F109" i="76"/>
  <c r="F64" i="76" s="1"/>
  <c r="Q23" i="67"/>
  <c r="E24" i="75" s="1"/>
  <c r="H24" i="75" s="1"/>
  <c r="D52" i="52" s="1"/>
  <c r="D23" i="75"/>
  <c r="E23" i="75"/>
  <c r="H23" i="75" s="1"/>
  <c r="D51" i="52" s="1"/>
  <c r="I51" i="75"/>
  <c r="P23" i="67"/>
  <c r="D110" i="76" s="1"/>
  <c r="C25" i="54"/>
  <c r="E94" i="76"/>
  <c r="K94" i="76"/>
  <c r="H94" i="76"/>
  <c r="F92" i="76"/>
  <c r="O92" i="76"/>
  <c r="I92" i="76"/>
  <c r="L92" i="76"/>
  <c r="E54" i="54"/>
  <c r="I54" i="54" s="1"/>
  <c r="F138" i="76"/>
  <c r="E52" i="75"/>
  <c r="H52" i="75" s="1"/>
  <c r="G94" i="76"/>
  <c r="D94" i="76"/>
  <c r="J94" i="76"/>
  <c r="K93" i="76"/>
  <c r="H93" i="76"/>
  <c r="E93" i="76"/>
  <c r="C24" i="75"/>
  <c r="G64" i="76"/>
  <c r="D93" i="76"/>
  <c r="G93" i="76"/>
  <c r="J93" i="76"/>
  <c r="K64" i="76"/>
  <c r="E64" i="76"/>
  <c r="H64" i="76"/>
  <c r="G53" i="75"/>
  <c r="G52" i="75"/>
  <c r="C25" i="67"/>
  <c r="E24" i="67"/>
  <c r="G25" i="67"/>
  <c r="I24" i="67"/>
  <c r="O23" i="67"/>
  <c r="B25" i="67"/>
  <c r="D24" i="67"/>
  <c r="F25" i="67"/>
  <c r="H24" i="67"/>
  <c r="Q52" i="67"/>
  <c r="E35" i="2"/>
  <c r="E33" i="2"/>
  <c r="E32" i="2"/>
  <c r="E31" i="2"/>
  <c r="E29" i="2"/>
  <c r="E28" i="2"/>
  <c r="E27" i="2"/>
  <c r="B2" i="2"/>
  <c r="J64" i="76" l="1"/>
  <c r="I22" i="75"/>
  <c r="E50" i="52" s="1"/>
  <c r="C50" i="52"/>
  <c r="D24" i="75"/>
  <c r="G24" i="75" s="1"/>
  <c r="L64" i="76"/>
  <c r="D26" i="54"/>
  <c r="O64" i="76"/>
  <c r="G23" i="75"/>
  <c r="C51" i="52" s="1"/>
  <c r="F110" i="76"/>
  <c r="L65" i="76" s="1"/>
  <c r="C26" i="54"/>
  <c r="E110" i="76"/>
  <c r="E65" i="76" s="1"/>
  <c r="I64" i="76"/>
  <c r="I25" i="54"/>
  <c r="C15" i="52" s="1"/>
  <c r="Q24" i="67"/>
  <c r="F111" i="76" s="1"/>
  <c r="E26" i="54"/>
  <c r="P24" i="67"/>
  <c r="E111" i="76" s="1"/>
  <c r="I52" i="75"/>
  <c r="G65" i="76"/>
  <c r="J65" i="76"/>
  <c r="D65" i="76"/>
  <c r="I93" i="76"/>
  <c r="O93" i="76"/>
  <c r="F93" i="76"/>
  <c r="L93" i="76"/>
  <c r="O65" i="76"/>
  <c r="E55" i="54"/>
  <c r="I55" i="54" s="1"/>
  <c r="F139" i="76"/>
  <c r="E53" i="75"/>
  <c r="H53" i="75" s="1"/>
  <c r="F26" i="67"/>
  <c r="H25" i="67"/>
  <c r="B26" i="67"/>
  <c r="D25" i="67"/>
  <c r="O24" i="67"/>
  <c r="G26" i="67"/>
  <c r="I25" i="67"/>
  <c r="C26" i="67"/>
  <c r="E25" i="67"/>
  <c r="F65" i="76" l="1"/>
  <c r="E25" i="75"/>
  <c r="H25" i="75" s="1"/>
  <c r="D53" i="52" s="1"/>
  <c r="K65" i="76"/>
  <c r="E27" i="54"/>
  <c r="I23" i="75"/>
  <c r="E51" i="52" s="1"/>
  <c r="I65" i="76"/>
  <c r="D25" i="75"/>
  <c r="D27" i="54"/>
  <c r="I27" i="54" s="1"/>
  <c r="C17" i="52" s="1"/>
  <c r="D111" i="76"/>
  <c r="D66" i="76" s="1"/>
  <c r="I26" i="54"/>
  <c r="C16" i="52" s="1"/>
  <c r="H65" i="76"/>
  <c r="C25" i="75"/>
  <c r="Q25" i="67"/>
  <c r="E26" i="75" s="1"/>
  <c r="H26" i="75" s="1"/>
  <c r="D54" i="52" s="1"/>
  <c r="C27" i="54"/>
  <c r="P25" i="67"/>
  <c r="D26" i="75" s="1"/>
  <c r="E66" i="76"/>
  <c r="H66" i="76"/>
  <c r="K66" i="76"/>
  <c r="L94" i="76"/>
  <c r="F94" i="76"/>
  <c r="O94" i="76"/>
  <c r="I94" i="76"/>
  <c r="L66" i="76"/>
  <c r="F66" i="76"/>
  <c r="O66" i="76"/>
  <c r="I66" i="76"/>
  <c r="F112" i="76"/>
  <c r="C52" i="52"/>
  <c r="I24" i="75"/>
  <c r="E52" i="52" s="1"/>
  <c r="I53" i="75"/>
  <c r="G27" i="67"/>
  <c r="I26" i="67"/>
  <c r="C27" i="67"/>
  <c r="E26" i="67"/>
  <c r="O25" i="67"/>
  <c r="B27" i="67"/>
  <c r="D26" i="67"/>
  <c r="F27" i="67"/>
  <c r="H26" i="67"/>
  <c r="G25" i="75" l="1"/>
  <c r="J66" i="76"/>
  <c r="C28" i="54"/>
  <c r="G66" i="76"/>
  <c r="E112" i="76"/>
  <c r="H67" i="76" s="1"/>
  <c r="E28" i="54"/>
  <c r="C26" i="75"/>
  <c r="D112" i="76"/>
  <c r="G67" i="76" s="1"/>
  <c r="P26" i="67"/>
  <c r="D113" i="76" s="1"/>
  <c r="Q26" i="67"/>
  <c r="E27" i="75" s="1"/>
  <c r="H27" i="75" s="1"/>
  <c r="D55" i="52" s="1"/>
  <c r="D28" i="54"/>
  <c r="G26" i="75"/>
  <c r="C54" i="52" s="1"/>
  <c r="C53" i="52"/>
  <c r="I25" i="75"/>
  <c r="E53" i="52" s="1"/>
  <c r="C27" i="75"/>
  <c r="L67" i="76"/>
  <c r="O67" i="76"/>
  <c r="F67" i="76"/>
  <c r="I67" i="76"/>
  <c r="E67" i="76"/>
  <c r="F28" i="67"/>
  <c r="H27" i="67"/>
  <c r="C28" i="67"/>
  <c r="E27" i="67"/>
  <c r="B28" i="67"/>
  <c r="D27" i="67"/>
  <c r="O26" i="67"/>
  <c r="G28" i="67"/>
  <c r="I27" i="67"/>
  <c r="K67" i="76" l="1"/>
  <c r="F113" i="76"/>
  <c r="O68" i="76" s="1"/>
  <c r="D29" i="54"/>
  <c r="I26" i="75"/>
  <c r="E54" i="52" s="1"/>
  <c r="D27" i="75"/>
  <c r="G27" i="75" s="1"/>
  <c r="J67" i="76"/>
  <c r="Q27" i="67"/>
  <c r="E30" i="54" s="1"/>
  <c r="P27" i="67"/>
  <c r="E114" i="76" s="1"/>
  <c r="D67" i="76"/>
  <c r="C29" i="54"/>
  <c r="E29" i="54"/>
  <c r="E113" i="76"/>
  <c r="K68" i="76" s="1"/>
  <c r="I28" i="54"/>
  <c r="C18" i="52" s="1"/>
  <c r="G68" i="76"/>
  <c r="D68" i="76"/>
  <c r="J68" i="76"/>
  <c r="I68" i="76"/>
  <c r="C28" i="75"/>
  <c r="G29" i="67"/>
  <c r="I28" i="67"/>
  <c r="O27" i="67"/>
  <c r="C29" i="67"/>
  <c r="E28" i="67"/>
  <c r="B29" i="67"/>
  <c r="D28" i="67"/>
  <c r="F29" i="67"/>
  <c r="H28" i="67"/>
  <c r="F68" i="76" l="1"/>
  <c r="L68" i="76"/>
  <c r="I27" i="75"/>
  <c r="E55" i="52" s="1"/>
  <c r="C55" i="52"/>
  <c r="E68" i="76"/>
  <c r="E28" i="75"/>
  <c r="H28" i="75" s="1"/>
  <c r="D56" i="52" s="1"/>
  <c r="F114" i="76"/>
  <c r="L69" i="76" s="1"/>
  <c r="D28" i="75"/>
  <c r="G28" i="75" s="1"/>
  <c r="C30" i="54"/>
  <c r="D114" i="76"/>
  <c r="J69" i="76" s="1"/>
  <c r="D30" i="54"/>
  <c r="H68" i="76"/>
  <c r="I29" i="54"/>
  <c r="C19" i="52" s="1"/>
  <c r="P28" i="67"/>
  <c r="D115" i="76" s="1"/>
  <c r="Q28" i="67"/>
  <c r="E31" i="54" s="1"/>
  <c r="K69" i="76"/>
  <c r="E69" i="76"/>
  <c r="H69" i="76"/>
  <c r="D29" i="75"/>
  <c r="F30" i="67"/>
  <c r="H30" i="67" s="1"/>
  <c r="H29" i="67"/>
  <c r="C30" i="67"/>
  <c r="E29" i="67"/>
  <c r="G30" i="67"/>
  <c r="I30" i="67" s="1"/>
  <c r="I29" i="67"/>
  <c r="D31" i="54"/>
  <c r="O28" i="67"/>
  <c r="B30" i="67"/>
  <c r="D29" i="67"/>
  <c r="F69" i="76" l="1"/>
  <c r="O69" i="76"/>
  <c r="I69" i="76"/>
  <c r="C29" i="75"/>
  <c r="G29" i="75" s="1"/>
  <c r="I30" i="54"/>
  <c r="C20" i="52" s="1"/>
  <c r="G69" i="76"/>
  <c r="D69" i="76"/>
  <c r="E115" i="76"/>
  <c r="K70" i="76" s="1"/>
  <c r="C31" i="54"/>
  <c r="P29" i="67"/>
  <c r="D116" i="76" s="1"/>
  <c r="P30" i="67"/>
  <c r="D117" i="76" s="1"/>
  <c r="E29" i="75"/>
  <c r="H29" i="75" s="1"/>
  <c r="D57" i="52" s="1"/>
  <c r="Q29" i="67"/>
  <c r="E32" i="54" s="1"/>
  <c r="Q30" i="67"/>
  <c r="E33" i="54" s="1"/>
  <c r="F115" i="76"/>
  <c r="L70" i="76" s="1"/>
  <c r="C30" i="75"/>
  <c r="E31" i="75"/>
  <c r="H31" i="75" s="1"/>
  <c r="D59" i="52" s="1"/>
  <c r="C56" i="52"/>
  <c r="I28" i="75"/>
  <c r="E56" i="52" s="1"/>
  <c r="G70" i="76"/>
  <c r="D70" i="76"/>
  <c r="J70" i="76"/>
  <c r="D30" i="67"/>
  <c r="O29" i="67"/>
  <c r="E30" i="67"/>
  <c r="I34" i="54"/>
  <c r="D32" i="54" l="1"/>
  <c r="D30" i="75"/>
  <c r="G30" i="75" s="1"/>
  <c r="F117" i="76"/>
  <c r="O72" i="76" s="1"/>
  <c r="E116" i="76"/>
  <c r="K71" i="76" s="1"/>
  <c r="C32" i="54"/>
  <c r="I32" i="54" s="1"/>
  <c r="C22" i="52" s="1"/>
  <c r="H70" i="76"/>
  <c r="E70" i="76"/>
  <c r="I31" i="54"/>
  <c r="C21" i="52" s="1"/>
  <c r="C31" i="75"/>
  <c r="I70" i="76"/>
  <c r="C33" i="54"/>
  <c r="E117" i="76"/>
  <c r="E72" i="76" s="1"/>
  <c r="O70" i="76"/>
  <c r="F116" i="76"/>
  <c r="F71" i="76" s="1"/>
  <c r="D31" i="75"/>
  <c r="F70" i="76"/>
  <c r="E30" i="75"/>
  <c r="H30" i="75" s="1"/>
  <c r="D58" i="52" s="1"/>
  <c r="D71" i="52" s="1"/>
  <c r="D33" i="54"/>
  <c r="I29" i="75"/>
  <c r="E57" i="52" s="1"/>
  <c r="C57" i="52"/>
  <c r="G71" i="76"/>
  <c r="J71" i="76"/>
  <c r="D71" i="76"/>
  <c r="D72" i="76"/>
  <c r="G72" i="76"/>
  <c r="J72" i="76"/>
  <c r="O30" i="67"/>
  <c r="C24" i="52"/>
  <c r="E297" i="52"/>
  <c r="F297" i="52"/>
  <c r="G297" i="52"/>
  <c r="H297" i="52"/>
  <c r="I297" i="52"/>
  <c r="J297" i="52"/>
  <c r="E71" i="76" l="1"/>
  <c r="I71" i="76"/>
  <c r="I30" i="75"/>
  <c r="E58" i="52" s="1"/>
  <c r="L72" i="76"/>
  <c r="F72" i="76"/>
  <c r="I72" i="76"/>
  <c r="H71" i="76"/>
  <c r="H72" i="76"/>
  <c r="K72" i="76"/>
  <c r="L71" i="76"/>
  <c r="O71" i="76"/>
  <c r="G31" i="75"/>
  <c r="I31" i="75" s="1"/>
  <c r="E59" i="52" s="1"/>
  <c r="G325" i="52"/>
  <c r="I325" i="52" s="1"/>
  <c r="G324" i="52"/>
  <c r="I324" i="52" s="1"/>
  <c r="G327" i="52"/>
  <c r="I327" i="52" s="1"/>
  <c r="G326" i="52"/>
  <c r="I326" i="52" s="1"/>
  <c r="G328" i="52"/>
  <c r="I328" i="52" s="1"/>
  <c r="G329" i="52"/>
  <c r="I329" i="52" s="1"/>
  <c r="G331" i="52"/>
  <c r="I331" i="52" s="1"/>
  <c r="G323" i="52"/>
  <c r="I323" i="52" s="1"/>
  <c r="G330" i="52"/>
  <c r="I330" i="52" s="1"/>
  <c r="G332" i="52"/>
  <c r="I332" i="52" s="1"/>
  <c r="G322" i="52"/>
  <c r="I322" i="52" s="1"/>
  <c r="H327" i="52"/>
  <c r="J327" i="52" s="1"/>
  <c r="H326" i="52"/>
  <c r="J326" i="52" s="1"/>
  <c r="H328" i="52"/>
  <c r="J328" i="52" s="1"/>
  <c r="H325" i="52"/>
  <c r="J325" i="52" s="1"/>
  <c r="H331" i="52"/>
  <c r="J331" i="52" s="1"/>
  <c r="H323" i="52"/>
  <c r="J323" i="52" s="1"/>
  <c r="H330" i="52"/>
  <c r="J330" i="52" s="1"/>
  <c r="H332" i="52"/>
  <c r="J332" i="52" s="1"/>
  <c r="H324" i="52"/>
  <c r="J324" i="52" s="1"/>
  <c r="H329" i="52"/>
  <c r="J329" i="52" s="1"/>
  <c r="H322" i="52"/>
  <c r="J322" i="52" s="1"/>
  <c r="I33" i="54"/>
  <c r="C23" i="52" s="1"/>
  <c r="C35" i="52" s="1"/>
  <c r="C58" i="52"/>
  <c r="G310" i="52"/>
  <c r="E71" i="52" l="1"/>
  <c r="C59" i="52"/>
  <c r="E304" i="52"/>
  <c r="F304" i="52"/>
  <c r="E303" i="52" l="1"/>
  <c r="I303" i="52" s="1"/>
  <c r="M28" i="63"/>
  <c r="F300" i="52"/>
  <c r="J300" i="52" s="1"/>
  <c r="E300" i="52"/>
  <c r="I300" i="52" s="1"/>
  <c r="E301" i="52"/>
  <c r="I301" i="52" s="1"/>
  <c r="F301" i="52"/>
  <c r="J301" i="52" s="1"/>
  <c r="F303" i="52" l="1"/>
  <c r="J303" i="52" s="1"/>
  <c r="F302" i="52"/>
  <c r="J302" i="52" s="1"/>
  <c r="E302" i="52"/>
  <c r="I302" i="52" s="1"/>
  <c r="F299" i="52"/>
  <c r="E299" i="52"/>
  <c r="E16" i="1" l="1"/>
  <c r="F333" i="52"/>
  <c r="E16" i="29" s="1"/>
  <c r="J304" i="52"/>
  <c r="I304" i="52"/>
  <c r="D16" i="1"/>
  <c r="D16" i="29"/>
  <c r="G306" i="52"/>
  <c r="I306" i="52" s="1"/>
  <c r="H306" i="52"/>
  <c r="J306" i="52" s="1"/>
  <c r="J299" i="52"/>
  <c r="I299" i="52"/>
  <c r="H305" i="52"/>
  <c r="J305" i="52" s="1"/>
  <c r="G305" i="52"/>
  <c r="I305" i="52" s="1"/>
  <c r="H307" i="52"/>
  <c r="J307" i="52" s="1"/>
  <c r="G307" i="52"/>
  <c r="I307" i="52" s="1"/>
  <c r="H311" i="52"/>
  <c r="J311" i="52" s="1"/>
  <c r="G311" i="52"/>
  <c r="I311" i="52" s="1"/>
  <c r="G314" i="52"/>
  <c r="I314" i="52" s="1"/>
  <c r="H314" i="52"/>
  <c r="J314" i="52" s="1"/>
  <c r="G316" i="52"/>
  <c r="I316" i="52" s="1"/>
  <c r="H316" i="52"/>
  <c r="J316" i="52" s="1"/>
  <c r="H312" i="52"/>
  <c r="J312" i="52" s="1"/>
  <c r="G312" i="52"/>
  <c r="I312" i="52" s="1"/>
  <c r="G317" i="52"/>
  <c r="I317" i="52" s="1"/>
  <c r="H317" i="52"/>
  <c r="J317" i="52" s="1"/>
  <c r="G315" i="52"/>
  <c r="I315" i="52" s="1"/>
  <c r="H315" i="52"/>
  <c r="J315" i="52" s="1"/>
  <c r="I310" i="52"/>
  <c r="H310" i="52"/>
  <c r="J310" i="52" s="1"/>
  <c r="H319" i="52"/>
  <c r="J319" i="52" s="1"/>
  <c r="G319" i="52"/>
  <c r="I319" i="52" s="1"/>
  <c r="H318" i="52"/>
  <c r="J318" i="52" s="1"/>
  <c r="G318" i="52"/>
  <c r="I318" i="52" s="1"/>
  <c r="H321" i="52"/>
  <c r="J321" i="52" s="1"/>
  <c r="G321" i="52"/>
  <c r="I321" i="52" s="1"/>
  <c r="H313" i="52"/>
  <c r="J313" i="52" s="1"/>
  <c r="G313" i="52"/>
  <c r="I313" i="52" s="1"/>
  <c r="G320" i="52"/>
  <c r="I320" i="52" s="1"/>
  <c r="H320" i="52"/>
  <c r="J320" i="52" s="1"/>
  <c r="G309" i="52"/>
  <c r="I309" i="52" s="1"/>
  <c r="H309" i="52"/>
  <c r="J309" i="52" s="1"/>
  <c r="H308" i="52"/>
  <c r="J308" i="52" s="1"/>
  <c r="G308" i="52"/>
  <c r="I308" i="52" s="1"/>
  <c r="D17" i="29"/>
  <c r="E76" i="52"/>
  <c r="G40" i="52"/>
  <c r="F40" i="52"/>
  <c r="F4" i="52"/>
  <c r="E4" i="52"/>
  <c r="E19" i="2"/>
  <c r="D289" i="52" l="1"/>
  <c r="D290" i="52"/>
  <c r="D282" i="52"/>
  <c r="D284" i="52"/>
  <c r="D291" i="52"/>
  <c r="D283" i="52"/>
  <c r="D285" i="52"/>
  <c r="D286" i="52"/>
  <c r="D288" i="52"/>
  <c r="D287" i="52"/>
  <c r="E290" i="52"/>
  <c r="E282" i="52"/>
  <c r="E284" i="52"/>
  <c r="E291" i="52"/>
  <c r="E283" i="52"/>
  <c r="E285" i="52"/>
  <c r="E286" i="52"/>
  <c r="E288" i="52"/>
  <c r="E287" i="52"/>
  <c r="E289" i="52"/>
  <c r="F61" i="52"/>
  <c r="F62" i="52"/>
  <c r="F63" i="52"/>
  <c r="F64" i="52"/>
  <c r="F65" i="52"/>
  <c r="F66" i="52"/>
  <c r="F67" i="52"/>
  <c r="F68" i="52"/>
  <c r="F69" i="52"/>
  <c r="F70" i="52"/>
  <c r="G61" i="52"/>
  <c r="G62" i="52"/>
  <c r="G63" i="52"/>
  <c r="G64" i="52"/>
  <c r="G65" i="52"/>
  <c r="G66" i="52"/>
  <c r="G67" i="52"/>
  <c r="G68" i="52"/>
  <c r="G69" i="52"/>
  <c r="G70" i="52"/>
  <c r="F60" i="52"/>
  <c r="F42" i="52"/>
  <c r="F43" i="52"/>
  <c r="F44" i="52"/>
  <c r="F46" i="52"/>
  <c r="F45" i="52"/>
  <c r="F47" i="52"/>
  <c r="F48" i="52"/>
  <c r="F49" i="52"/>
  <c r="F50" i="52"/>
  <c r="F51" i="52"/>
  <c r="F52" i="52"/>
  <c r="F54" i="52"/>
  <c r="F53" i="52"/>
  <c r="F55" i="52"/>
  <c r="F56" i="52"/>
  <c r="F57" i="52"/>
  <c r="F58" i="52"/>
  <c r="F59" i="52"/>
  <c r="G60" i="52"/>
  <c r="G42" i="52"/>
  <c r="G43" i="52"/>
  <c r="G44" i="52"/>
  <c r="G45" i="52"/>
  <c r="G46" i="52"/>
  <c r="G47" i="52"/>
  <c r="G48" i="52"/>
  <c r="G49" i="52"/>
  <c r="G50" i="52"/>
  <c r="G51" i="52"/>
  <c r="G52" i="52"/>
  <c r="G53" i="52"/>
  <c r="G54" i="52"/>
  <c r="G55" i="52"/>
  <c r="G56" i="52"/>
  <c r="G59" i="52"/>
  <c r="G58" i="52"/>
  <c r="G57" i="52"/>
  <c r="G333" i="52"/>
  <c r="E17" i="1" s="1"/>
  <c r="E18" i="1" s="1"/>
  <c r="H333" i="52"/>
  <c r="E17" i="29" s="1"/>
  <c r="E18" i="29" s="1"/>
  <c r="D262" i="52"/>
  <c r="D264" i="52"/>
  <c r="D266" i="52"/>
  <c r="D260" i="52"/>
  <c r="D270" i="52"/>
  <c r="D275" i="52"/>
  <c r="D263" i="52"/>
  <c r="D272" i="52"/>
  <c r="D279" i="52"/>
  <c r="D278" i="52"/>
  <c r="D274" i="52"/>
  <c r="D273" i="52"/>
  <c r="D259" i="52"/>
  <c r="D267" i="52"/>
  <c r="D268" i="52"/>
  <c r="D269" i="52"/>
  <c r="D271" i="52"/>
  <c r="D276" i="52"/>
  <c r="D281" i="52"/>
  <c r="D265" i="52"/>
  <c r="D280" i="52"/>
  <c r="D277" i="52"/>
  <c r="D261" i="52"/>
  <c r="E276" i="52"/>
  <c r="E264" i="52"/>
  <c r="E280" i="52"/>
  <c r="E275" i="52"/>
  <c r="E278" i="52"/>
  <c r="E261" i="52"/>
  <c r="E271" i="52"/>
  <c r="E269" i="52"/>
  <c r="E272" i="52"/>
  <c r="E273" i="52"/>
  <c r="E270" i="52"/>
  <c r="E279" i="52"/>
  <c r="E266" i="52"/>
  <c r="E267" i="52"/>
  <c r="E268" i="52"/>
  <c r="E263" i="52"/>
  <c r="E260" i="52"/>
  <c r="E262" i="52"/>
  <c r="E281" i="52"/>
  <c r="E265" i="52"/>
  <c r="E277" i="52"/>
  <c r="E274" i="52"/>
  <c r="E259" i="52"/>
  <c r="E258" i="52"/>
  <c r="D258" i="52"/>
  <c r="D18" i="29"/>
  <c r="D17" i="1"/>
  <c r="D18" i="1" s="1"/>
  <c r="E20" i="2"/>
  <c r="F71" i="52" l="1"/>
  <c r="G71" i="52"/>
  <c r="E25" i="29"/>
  <c r="E25" i="1"/>
  <c r="B2" i="54"/>
  <c r="B2" i="41"/>
  <c r="AU31" i="41" l="1"/>
  <c r="AU23" i="41"/>
  <c r="AW31" i="41"/>
  <c r="BQ31" i="41"/>
  <c r="AW23" i="41"/>
  <c r="BQ23" i="41"/>
  <c r="AA19" i="41" l="1"/>
  <c r="E27" i="41"/>
  <c r="Y23" i="41"/>
  <c r="Y19" i="41"/>
  <c r="AU19" i="41"/>
  <c r="AW19" i="41"/>
  <c r="AA27" i="41"/>
  <c r="BQ19" i="41"/>
  <c r="AU27" i="41"/>
  <c r="BQ27" i="41"/>
  <c r="AA31" i="41"/>
  <c r="E19" i="41"/>
  <c r="AW27" i="41"/>
  <c r="AA23" i="41"/>
  <c r="H23" i="41" l="1"/>
  <c r="K31" i="41"/>
  <c r="N27" i="41"/>
  <c r="F23" i="41"/>
  <c r="P27" i="41"/>
  <c r="R23" i="41"/>
  <c r="BQ34" i="41"/>
  <c r="I72" i="41" s="1"/>
  <c r="AW34" i="41"/>
  <c r="I52" i="41" s="1"/>
  <c r="AA34" i="41"/>
  <c r="H52" i="41" s="1"/>
  <c r="AU34" i="41"/>
  <c r="H72" i="41" s="1"/>
  <c r="Q23" i="41"/>
  <c r="P23" i="41"/>
  <c r="H31" i="41"/>
  <c r="I23" i="41"/>
  <c r="G23" i="41"/>
  <c r="R31" i="41"/>
  <c r="X31" i="41"/>
  <c r="E31" i="41"/>
  <c r="N31" i="41"/>
  <c r="I31" i="41"/>
  <c r="I27" i="41"/>
  <c r="Y31" i="41"/>
  <c r="Y27" i="41"/>
  <c r="R27" i="41"/>
  <c r="F27" i="41"/>
  <c r="K23" i="41"/>
  <c r="F31" i="41"/>
  <c r="M31" i="41"/>
  <c r="U31" i="41"/>
  <c r="T31" i="41"/>
  <c r="X27" i="41"/>
  <c r="G27" i="41"/>
  <c r="E23" i="41"/>
  <c r="U23" i="41"/>
  <c r="V23" i="41"/>
  <c r="W23" i="41"/>
  <c r="G31" i="41"/>
  <c r="S31" i="41"/>
  <c r="L31" i="41"/>
  <c r="J27" i="41"/>
  <c r="S27" i="41"/>
  <c r="T27" i="41"/>
  <c r="V27" i="41"/>
  <c r="U27" i="41"/>
  <c r="AR31" i="41"/>
  <c r="AN31" i="41"/>
  <c r="AF31" i="41"/>
  <c r="AC31" i="41"/>
  <c r="AS31" i="41"/>
  <c r="AF23" i="41"/>
  <c r="AB23" i="41"/>
  <c r="AD23" i="41"/>
  <c r="AC23" i="41"/>
  <c r="AS23" i="41"/>
  <c r="AY31" i="41"/>
  <c r="BP31" i="41"/>
  <c r="AX31" i="41"/>
  <c r="BN31" i="41"/>
  <c r="AS19" i="41"/>
  <c r="AD19" i="41"/>
  <c r="AJ19" i="41"/>
  <c r="AN19" i="41"/>
  <c r="AB19" i="41"/>
  <c r="AS27" i="41"/>
  <c r="AI27" i="41"/>
  <c r="AQ27" i="41"/>
  <c r="AR27" i="41"/>
  <c r="AP27" i="41"/>
  <c r="BC19" i="41"/>
  <c r="BE19" i="41"/>
  <c r="BF19" i="41"/>
  <c r="BM19" i="41"/>
  <c r="BL19" i="41"/>
  <c r="BP27" i="41"/>
  <c r="BJ27" i="41"/>
  <c r="BF27" i="41"/>
  <c r="BI27" i="41"/>
  <c r="BC27" i="41"/>
  <c r="K19" i="41"/>
  <c r="L19" i="41"/>
  <c r="M19" i="41"/>
  <c r="O19" i="41"/>
  <c r="J19" i="41"/>
  <c r="BG23" i="41"/>
  <c r="BH23" i="41"/>
  <c r="BI23" i="41"/>
  <c r="BE23" i="41"/>
  <c r="BB23" i="41"/>
  <c r="AB31" i="41"/>
  <c r="AI31" i="41"/>
  <c r="AE31" i="41"/>
  <c r="AL31" i="41"/>
  <c r="AG31" i="41"/>
  <c r="O23" i="41"/>
  <c r="AJ23" i="41"/>
  <c r="AL23" i="41"/>
  <c r="AH23" i="41"/>
  <c r="AI23" i="41"/>
  <c r="AG23" i="41"/>
  <c r="BD31" i="41"/>
  <c r="BK31" i="41"/>
  <c r="BG31" i="41"/>
  <c r="BC31" i="41"/>
  <c r="BB31" i="41"/>
  <c r="AT19" i="41"/>
  <c r="AF19" i="41"/>
  <c r="AK19" i="41"/>
  <c r="AO19" i="41"/>
  <c r="AE27" i="41"/>
  <c r="AO27" i="41"/>
  <c r="AB27" i="41"/>
  <c r="AD27" i="41"/>
  <c r="AT27" i="41"/>
  <c r="BI19" i="41"/>
  <c r="BJ19" i="41"/>
  <c r="BK19" i="41"/>
  <c r="AZ19" i="41"/>
  <c r="BP19" i="41"/>
  <c r="BA27" i="41"/>
  <c r="BE27" i="41"/>
  <c r="BM27" i="41"/>
  <c r="BN27" i="41"/>
  <c r="BG27" i="41"/>
  <c r="P19" i="41"/>
  <c r="Q19" i="41"/>
  <c r="S19" i="41"/>
  <c r="T19" i="41"/>
  <c r="N19" i="41"/>
  <c r="BL23" i="41"/>
  <c r="BM23" i="41"/>
  <c r="BO23" i="41"/>
  <c r="BK23" i="41"/>
  <c r="BF23" i="41"/>
  <c r="AP31" i="41"/>
  <c r="AJ31" i="41"/>
  <c r="AM31" i="41"/>
  <c r="AQ31" i="41"/>
  <c r="AK31" i="41"/>
  <c r="AP23" i="41"/>
  <c r="AQ23" i="41"/>
  <c r="AM23" i="41"/>
  <c r="AN23" i="41"/>
  <c r="AK23" i="41"/>
  <c r="BO31" i="41"/>
  <c r="AZ31" i="41"/>
  <c r="BA31" i="41"/>
  <c r="BH31" i="41"/>
  <c r="BF31" i="41"/>
  <c r="AL19" i="41"/>
  <c r="AE19" i="41"/>
  <c r="AI19" i="41"/>
  <c r="AM19" i="41"/>
  <c r="AP19" i="41"/>
  <c r="AF27" i="41"/>
  <c r="AC27" i="41"/>
  <c r="AG27" i="41"/>
  <c r="AH27" i="41"/>
  <c r="BN19" i="41"/>
  <c r="BO19" i="41"/>
  <c r="BB19" i="41"/>
  <c r="BD19" i="41"/>
  <c r="BH27" i="41"/>
  <c r="BL27" i="41"/>
  <c r="AX27" i="41"/>
  <c r="BK27" i="41"/>
  <c r="U19" i="41"/>
  <c r="W19" i="41"/>
  <c r="X19" i="41"/>
  <c r="R19" i="41"/>
  <c r="BA23" i="41"/>
  <c r="AY23" i="41"/>
  <c r="BP23" i="41"/>
  <c r="BJ23" i="41"/>
  <c r="AH31" i="41"/>
  <c r="AD31" i="41"/>
  <c r="AT31" i="41"/>
  <c r="AO31" i="41"/>
  <c r="AE23" i="41"/>
  <c r="AR23" i="41"/>
  <c r="AT23" i="41"/>
  <c r="AO23" i="41"/>
  <c r="BE31" i="41"/>
  <c r="BL31" i="41"/>
  <c r="BI31" i="41"/>
  <c r="BM31" i="41"/>
  <c r="BJ31" i="41"/>
  <c r="AG19" i="41"/>
  <c r="AC19" i="41"/>
  <c r="AH19" i="41"/>
  <c r="AR19" i="41"/>
  <c r="AQ19" i="41"/>
  <c r="AK27" i="41"/>
  <c r="AN27" i="41"/>
  <c r="AJ27" i="41"/>
  <c r="AM27" i="41"/>
  <c r="AL27" i="41"/>
  <c r="AX19" i="41"/>
  <c r="AY19" i="41"/>
  <c r="BA19" i="41"/>
  <c r="BG19" i="41"/>
  <c r="BH19" i="41"/>
  <c r="BB27" i="41"/>
  <c r="AZ27" i="41"/>
  <c r="BD27" i="41"/>
  <c r="AY27" i="41"/>
  <c r="BO27" i="41"/>
  <c r="G19" i="41"/>
  <c r="H19" i="41"/>
  <c r="I19" i="41"/>
  <c r="F19" i="41"/>
  <c r="V19" i="41"/>
  <c r="BC23" i="41"/>
  <c r="BD23" i="41"/>
  <c r="AZ23" i="41"/>
  <c r="AX23" i="41"/>
  <c r="BN23" i="41"/>
  <c r="AL34" i="41" l="1"/>
  <c r="H63" i="41" s="1"/>
  <c r="E34" i="41"/>
  <c r="AX34" i="41"/>
  <c r="I53" i="41" s="1"/>
  <c r="AH34" i="41"/>
  <c r="H59" i="41" s="1"/>
  <c r="I34" i="41"/>
  <c r="F34" i="41"/>
  <c r="AY34" i="41"/>
  <c r="I54" i="41" s="1"/>
  <c r="AR34" i="41"/>
  <c r="H69" i="41" s="1"/>
  <c r="U34" i="41"/>
  <c r="BN34" i="41"/>
  <c r="I69" i="41" s="1"/>
  <c r="AE34" i="41"/>
  <c r="H56" i="41" s="1"/>
  <c r="BI34" i="41"/>
  <c r="I64" i="41" s="1"/>
  <c r="BM34" i="41"/>
  <c r="I68" i="41" s="1"/>
  <c r="AD34" i="41"/>
  <c r="H55" i="41" s="1"/>
  <c r="Y34" i="41"/>
  <c r="BH34" i="41"/>
  <c r="I63" i="41" s="1"/>
  <c r="R34" i="41"/>
  <c r="BD34" i="41"/>
  <c r="I59" i="41" s="1"/>
  <c r="AP34" i="41"/>
  <c r="H67" i="41" s="1"/>
  <c r="AS34" i="41"/>
  <c r="H70" i="41" s="1"/>
  <c r="G34" i="41"/>
  <c r="BA34" i="41"/>
  <c r="I56" i="41" s="1"/>
  <c r="AQ34" i="41"/>
  <c r="H68" i="41" s="1"/>
  <c r="AG34" i="41"/>
  <c r="H58" i="41" s="1"/>
  <c r="BO34" i="41"/>
  <c r="AI34" i="41"/>
  <c r="H60" i="41" s="1"/>
  <c r="BJ34" i="41"/>
  <c r="I65" i="41" s="1"/>
  <c r="AK34" i="41"/>
  <c r="H62" i="41" s="1"/>
  <c r="BL34" i="41"/>
  <c r="I67" i="41" s="1"/>
  <c r="BC34" i="41"/>
  <c r="I58" i="41" s="1"/>
  <c r="AJ34" i="41"/>
  <c r="H61" i="41" s="1"/>
  <c r="BP34" i="41"/>
  <c r="I71" i="41" s="1"/>
  <c r="AF34" i="41"/>
  <c r="H57" i="41" s="1"/>
  <c r="AZ34" i="41"/>
  <c r="I55" i="41" s="1"/>
  <c r="AT34" i="41"/>
  <c r="H71" i="41" s="1"/>
  <c r="BF34" i="41"/>
  <c r="I61" i="41" s="1"/>
  <c r="AB34" i="41"/>
  <c r="H53" i="41" s="1"/>
  <c r="BG34" i="41"/>
  <c r="I62" i="41" s="1"/>
  <c r="AC34" i="41"/>
  <c r="H54" i="41" s="1"/>
  <c r="BB34" i="41"/>
  <c r="I57" i="41" s="1"/>
  <c r="AM34" i="41"/>
  <c r="H64" i="41" s="1"/>
  <c r="BK34" i="41"/>
  <c r="I66" i="41" s="1"/>
  <c r="AO34" i="41"/>
  <c r="H66" i="41" s="1"/>
  <c r="BE34" i="41"/>
  <c r="I60" i="41" s="1"/>
  <c r="AN34" i="41"/>
  <c r="H65" i="41" s="1"/>
  <c r="P31" i="41"/>
  <c r="P34" i="41" s="1"/>
  <c r="X23" i="41"/>
  <c r="X34" i="41" s="1"/>
  <c r="L27" i="41"/>
  <c r="M27" i="41"/>
  <c r="O27" i="41"/>
  <c r="W31" i="41"/>
  <c r="N23" i="41"/>
  <c r="N34" i="41" s="1"/>
  <c r="O31" i="41"/>
  <c r="Q27" i="41"/>
  <c r="W27" i="41"/>
  <c r="J31" i="41"/>
  <c r="T23" i="41"/>
  <c r="T34" i="41" s="1"/>
  <c r="S23" i="41"/>
  <c r="S34" i="41" s="1"/>
  <c r="K27" i="41"/>
  <c r="K34" i="41" s="1"/>
  <c r="Q31" i="41"/>
  <c r="V31" i="41"/>
  <c r="V34" i="41" s="1"/>
  <c r="H27" i="41"/>
  <c r="H34" i="41" s="1"/>
  <c r="L23" i="41"/>
  <c r="J23" i="41"/>
  <c r="M23" i="41"/>
  <c r="M34" i="41" s="1"/>
  <c r="I40" i="41" l="1"/>
  <c r="G55" i="41"/>
  <c r="H40" i="41"/>
  <c r="G54" i="41"/>
  <c r="G40" i="41"/>
  <c r="G53" i="41"/>
  <c r="F40" i="41"/>
  <c r="G67" i="41"/>
  <c r="T40" i="41"/>
  <c r="G68" i="41"/>
  <c r="U40" i="41"/>
  <c r="G63" i="41"/>
  <c r="P40" i="41"/>
  <c r="G56" i="41"/>
  <c r="G66" i="41"/>
  <c r="S40" i="41"/>
  <c r="G61" i="41"/>
  <c r="N40" i="41"/>
  <c r="G65" i="41"/>
  <c r="R40" i="41"/>
  <c r="G52" i="41"/>
  <c r="E40" i="41"/>
  <c r="G69" i="41"/>
  <c r="V40" i="41"/>
  <c r="G71" i="41"/>
  <c r="X40" i="41"/>
  <c r="G60" i="41"/>
  <c r="M40" i="41"/>
  <c r="L34" i="41"/>
  <c r="G58" i="41"/>
  <c r="K40" i="41"/>
  <c r="G72" i="41"/>
  <c r="Y40" i="41"/>
  <c r="H73" i="41"/>
  <c r="I70" i="41"/>
  <c r="J34" i="41"/>
  <c r="O34" i="41"/>
  <c r="W34" i="41"/>
  <c r="Q34" i="41"/>
  <c r="J56" i="41" l="1"/>
  <c r="J68" i="41"/>
  <c r="J53" i="41"/>
  <c r="J72" i="41"/>
  <c r="J63" i="41"/>
  <c r="J54" i="41"/>
  <c r="J55" i="41"/>
  <c r="I73" i="41"/>
  <c r="J52" i="41"/>
  <c r="J61" i="41"/>
  <c r="J67" i="41"/>
  <c r="J58" i="41"/>
  <c r="J69" i="41"/>
  <c r="J60" i="41"/>
  <c r="J71" i="41"/>
  <c r="J65" i="41"/>
  <c r="J66" i="41"/>
  <c r="G59" i="41"/>
  <c r="L40" i="41"/>
  <c r="G64" i="41"/>
  <c r="Q40" i="41"/>
  <c r="G57" i="41"/>
  <c r="J40" i="41"/>
  <c r="G62" i="41"/>
  <c r="O40" i="41"/>
  <c r="G70" i="41"/>
  <c r="W40" i="41"/>
  <c r="E44" i="41" l="1"/>
  <c r="J62" i="41"/>
  <c r="J64" i="41"/>
  <c r="J59" i="41"/>
  <c r="J70" i="41"/>
  <c r="J57" i="41"/>
  <c r="G73" i="41"/>
  <c r="H44" i="47"/>
  <c r="C43" i="47"/>
  <c r="J73" i="41" l="1"/>
  <c r="H77" i="41" s="1"/>
  <c r="I77" i="41" l="1"/>
  <c r="G77" i="41"/>
  <c r="BC10" i="52" l="1"/>
  <c r="AV11" i="52" s="1"/>
  <c r="AW11" i="52" s="1"/>
  <c r="BF11" i="52"/>
  <c r="AV10" i="52"/>
  <c r="AW10" i="52" s="1"/>
  <c r="AV12" i="52" l="1"/>
  <c r="AW12" i="52" s="1"/>
  <c r="AX12" i="52" s="1"/>
  <c r="AY10" i="52"/>
  <c r="AX10" i="52"/>
  <c r="AY11" i="52"/>
  <c r="AX11" i="52"/>
  <c r="AY12" i="52" l="1"/>
  <c r="AV13" i="52"/>
  <c r="AW13" i="52" s="1"/>
  <c r="AV14" i="52" l="1"/>
  <c r="AW14" i="52" s="1"/>
  <c r="AX13" i="52"/>
  <c r="AY13" i="52"/>
  <c r="AX14" i="52" l="1"/>
  <c r="AY14" i="52"/>
  <c r="AV15" i="52"/>
  <c r="AW15" i="52" s="1"/>
  <c r="AV16" i="52" l="1"/>
  <c r="AW16" i="52" s="1"/>
  <c r="AX15" i="52"/>
  <c r="AY15" i="52"/>
  <c r="AX16" i="52" l="1"/>
  <c r="AY16" i="52"/>
  <c r="AV17" i="52"/>
  <c r="AW17" i="52" s="1"/>
  <c r="AY17" i="52" l="1"/>
  <c r="AX17" i="52"/>
  <c r="AV18" i="52"/>
  <c r="AW18" i="52" s="1"/>
  <c r="AY18" i="52" l="1"/>
  <c r="AX18" i="52"/>
  <c r="AV19" i="52"/>
  <c r="AW19" i="52" s="1"/>
  <c r="AY19" i="52" l="1"/>
  <c r="AX19" i="52"/>
  <c r="AV20" i="52"/>
  <c r="AW20" i="52" s="1"/>
  <c r="AV21" i="52" l="1"/>
  <c r="AW21" i="52" s="1"/>
  <c r="AY20" i="52"/>
  <c r="AX20" i="52"/>
  <c r="AV22" i="52" l="1"/>
  <c r="AW22" i="52" s="1"/>
  <c r="AY21" i="52"/>
  <c r="AX21" i="52"/>
  <c r="AV23" i="52" l="1"/>
  <c r="AW23" i="52" s="1"/>
  <c r="AY22" i="52"/>
  <c r="AX22" i="52"/>
  <c r="AY23" i="52" l="1"/>
  <c r="AX23" i="52"/>
  <c r="AV24" i="52"/>
  <c r="AW24" i="52" s="1"/>
  <c r="AY24" i="52" l="1"/>
  <c r="AX24" i="52"/>
  <c r="C8" i="49" l="1"/>
  <c r="C27" i="49"/>
  <c r="C44" i="47" l="1"/>
  <c r="E15" i="2"/>
  <c r="C173" i="2"/>
  <c r="C179"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N92" i="36"/>
  <c r="M92" i="36"/>
  <c r="D19" i="36"/>
  <c r="E16" i="2" l="1"/>
  <c r="C46" i="2" l="1"/>
  <c r="E46" i="2" s="1"/>
  <c r="E8" i="49"/>
  <c r="E11" i="49" s="1"/>
  <c r="D8" i="49"/>
  <c r="D11" i="49" s="1"/>
  <c r="C11" i="49"/>
  <c r="C45" i="2" l="1"/>
  <c r="E45" i="2" s="1"/>
  <c r="E188" i="2"/>
  <c r="I49" i="47"/>
  <c r="H49" i="47"/>
  <c r="G49" i="47"/>
  <c r="F49" i="47"/>
  <c r="E49" i="47"/>
  <c r="D49" i="47"/>
  <c r="C49" i="47"/>
  <c r="I48" i="47"/>
  <c r="H48" i="47"/>
  <c r="G48" i="47"/>
  <c r="F48" i="47"/>
  <c r="E48" i="47"/>
  <c r="D48" i="47"/>
  <c r="C48" i="47"/>
  <c r="I47" i="47"/>
  <c r="H47" i="47"/>
  <c r="G47" i="47"/>
  <c r="F47" i="47"/>
  <c r="E47" i="47"/>
  <c r="D47" i="47"/>
  <c r="C47" i="47"/>
  <c r="I46" i="47"/>
  <c r="H46" i="47"/>
  <c r="G46" i="47"/>
  <c r="F46" i="47"/>
  <c r="E46" i="47"/>
  <c r="D46" i="47"/>
  <c r="C46" i="47"/>
  <c r="I45" i="47"/>
  <c r="H45" i="47"/>
  <c r="G45" i="47"/>
  <c r="F45" i="47"/>
  <c r="E45" i="47"/>
  <c r="D45" i="47"/>
  <c r="C45" i="47"/>
  <c r="I44" i="47"/>
  <c r="G44" i="47"/>
  <c r="F44" i="47"/>
  <c r="E44" i="47"/>
  <c r="D44" i="47"/>
  <c r="I43" i="47"/>
  <c r="H43" i="47"/>
  <c r="G43" i="47"/>
  <c r="F43" i="47"/>
  <c r="E43" i="47"/>
  <c r="D43" i="47"/>
  <c r="E199" i="2"/>
  <c r="I37" i="47"/>
  <c r="H37" i="47"/>
  <c r="G37" i="47"/>
  <c r="F37" i="47"/>
  <c r="E37" i="47"/>
  <c r="D37" i="47"/>
  <c r="C37" i="47"/>
  <c r="D12" i="79" l="1"/>
  <c r="I50" i="47"/>
  <c r="F50" i="47"/>
  <c r="C183" i="2" s="1"/>
  <c r="E183" i="2" s="1"/>
  <c r="E50" i="47"/>
  <c r="C184" i="2" s="1"/>
  <c r="E184" i="2" s="1"/>
  <c r="G50" i="47"/>
  <c r="C182" i="2" s="1"/>
  <c r="E182" i="2" s="1"/>
  <c r="H50" i="47"/>
  <c r="C186" i="2" s="1"/>
  <c r="E186" i="2" s="1"/>
  <c r="D50" i="47"/>
  <c r="C185" i="2" s="1"/>
  <c r="E185" i="2" s="1"/>
  <c r="D11" i="79" l="1"/>
  <c r="D7" i="79"/>
  <c r="D9" i="79"/>
  <c r="D10" i="79"/>
  <c r="D8" i="79"/>
  <c r="C50" i="47"/>
  <c r="AM59" i="79" l="1"/>
  <c r="AM60" i="79"/>
  <c r="AD59" i="79"/>
  <c r="AJ60" i="79"/>
  <c r="AJ59" i="79"/>
  <c r="AH60" i="79"/>
  <c r="AF60" i="79"/>
  <c r="AL59" i="79"/>
  <c r="AC60" i="79"/>
  <c r="AC59" i="79"/>
  <c r="AF59" i="79"/>
  <c r="AL60" i="79"/>
  <c r="AK60" i="79"/>
  <c r="AD60" i="79"/>
  <c r="AE60" i="79"/>
  <c r="AE59" i="79"/>
  <c r="AH59" i="79"/>
  <c r="AK59" i="79"/>
  <c r="AG60" i="79"/>
  <c r="AI59" i="79"/>
  <c r="AG59" i="79"/>
  <c r="AI60" i="79"/>
  <c r="AM55" i="79"/>
  <c r="AM28" i="79"/>
  <c r="AL28" i="79"/>
  <c r="AG40" i="79"/>
  <c r="AF22" i="79"/>
  <c r="AM43" i="79"/>
  <c r="AH27" i="79"/>
  <c r="AK21" i="79"/>
  <c r="AM44" i="79"/>
  <c r="AE27" i="79"/>
  <c r="AM56" i="79"/>
  <c r="AF21" i="79"/>
  <c r="AJ22" i="79"/>
  <c r="AM46" i="79"/>
  <c r="AJ28" i="79"/>
  <c r="AF40" i="79"/>
  <c r="AM42" i="79"/>
  <c r="AD21" i="79"/>
  <c r="AH28" i="79"/>
  <c r="AK22" i="79"/>
  <c r="AD29" i="79"/>
  <c r="AL23" i="79"/>
  <c r="AK30" i="79"/>
  <c r="AM47" i="79"/>
  <c r="AD27" i="79"/>
  <c r="AH29" i="79"/>
  <c r="AF27" i="79"/>
  <c r="AM41" i="79"/>
  <c r="AH24" i="79"/>
  <c r="AG28" i="79"/>
  <c r="AL22" i="79"/>
  <c r="AK38" i="79"/>
  <c r="AC39" i="79"/>
  <c r="AH21" i="79"/>
  <c r="AM22" i="79"/>
  <c r="AC29" i="79"/>
  <c r="AG30" i="79"/>
  <c r="AF29" i="79"/>
  <c r="AD30" i="79"/>
  <c r="AI23" i="79"/>
  <c r="AK29" i="79"/>
  <c r="AC31" i="79"/>
  <c r="AD28" i="79"/>
  <c r="AG33" i="79"/>
  <c r="AG29" i="79"/>
  <c r="AC30" i="79"/>
  <c r="AJ38" i="79"/>
  <c r="AM30" i="79"/>
  <c r="AM27" i="79"/>
  <c r="AE33" i="79"/>
  <c r="AM50" i="79"/>
  <c r="AF23" i="79"/>
  <c r="AM58" i="79"/>
  <c r="AG38" i="79"/>
  <c r="AL27" i="79"/>
  <c r="AJ27" i="79"/>
  <c r="AH31" i="79"/>
  <c r="AD23" i="79"/>
  <c r="AM53" i="79"/>
  <c r="AJ23" i="79"/>
  <c r="AL21" i="79"/>
  <c r="AM40" i="79"/>
  <c r="AK27" i="79"/>
  <c r="AF24" i="79"/>
  <c r="AM51" i="79"/>
  <c r="AH22" i="79"/>
  <c r="AE25" i="79"/>
  <c r="AG22" i="79"/>
  <c r="AC23" i="79"/>
  <c r="AL33" i="79"/>
  <c r="AH38" i="79"/>
  <c r="AC21" i="79"/>
  <c r="AL39" i="79"/>
  <c r="AF39" i="79"/>
  <c r="AC22" i="79"/>
  <c r="AE22" i="79"/>
  <c r="AE28" i="79"/>
  <c r="AC40" i="79"/>
  <c r="AL30" i="79"/>
  <c r="AG21" i="79"/>
  <c r="AJ39" i="79"/>
  <c r="AK40" i="79"/>
  <c r="AM39" i="79"/>
  <c r="AM49" i="79"/>
  <c r="AH30" i="79"/>
  <c r="AM33" i="79"/>
  <c r="AM29" i="79"/>
  <c r="AJ33" i="79"/>
  <c r="AM21" i="79"/>
  <c r="AE21" i="79"/>
  <c r="AM57" i="79"/>
  <c r="AH23" i="79"/>
  <c r="AG31" i="79"/>
  <c r="AD22" i="79"/>
  <c r="AM52" i="79"/>
  <c r="AE38" i="79"/>
  <c r="AF33" i="79"/>
  <c r="AC27" i="79"/>
  <c r="AK41" i="79"/>
  <c r="AE41" i="79"/>
  <c r="AD33" i="79"/>
  <c r="AF28" i="79"/>
  <c r="AE23" i="79"/>
  <c r="AL40" i="79"/>
  <c r="AH33" i="79"/>
  <c r="AK39" i="79"/>
  <c r="AD38" i="79"/>
  <c r="AG41" i="79"/>
  <c r="AE39" i="79"/>
  <c r="AK31" i="79"/>
  <c r="AH40" i="79"/>
  <c r="AD39" i="79"/>
  <c r="AK33" i="79"/>
  <c r="AG42" i="79"/>
  <c r="AC41" i="79"/>
  <c r="AL38" i="79"/>
  <c r="AC24" i="79"/>
  <c r="AE40" i="79"/>
  <c r="AJ24" i="79"/>
  <c r="AM48" i="79"/>
  <c r="AJ29" i="79"/>
  <c r="AM54" i="79"/>
  <c r="AJ30" i="79"/>
  <c r="AJ21" i="79"/>
  <c r="AK23" i="79"/>
  <c r="AM38" i="79"/>
  <c r="AM45" i="79"/>
  <c r="AG23" i="79"/>
  <c r="AL29" i="79"/>
  <c r="AM23" i="79"/>
  <c r="AF38" i="79"/>
  <c r="AF41" i="79"/>
  <c r="AE30" i="79"/>
  <c r="AG39" i="79"/>
  <c r="AK28" i="79"/>
  <c r="AJ41" i="79"/>
  <c r="AH39" i="79"/>
  <c r="AC28" i="79"/>
  <c r="AG27" i="79"/>
  <c r="AE24" i="79"/>
  <c r="AC25" i="79"/>
  <c r="AD40" i="79"/>
  <c r="AC33" i="79"/>
  <c r="AJ40" i="79"/>
  <c r="AC38" i="79"/>
  <c r="AF30" i="79"/>
  <c r="AE29" i="79"/>
  <c r="AF25" i="79"/>
  <c r="AH25" i="79"/>
  <c r="AL24" i="79"/>
  <c r="AL41" i="79"/>
  <c r="AD24" i="79"/>
  <c r="AJ31" i="79"/>
  <c r="AI33" i="79"/>
  <c r="AI25" i="79"/>
  <c r="AI32" i="79"/>
  <c r="AJ32" i="79"/>
  <c r="AK24" i="79"/>
  <c r="AI26" i="79"/>
  <c r="AM24" i="79"/>
  <c r="AI22" i="79"/>
  <c r="AI31" i="79"/>
  <c r="AC26" i="79"/>
  <c r="AE26" i="79"/>
  <c r="AD31" i="79"/>
  <c r="AI30" i="79"/>
  <c r="AI24" i="79"/>
  <c r="AG43" i="79"/>
  <c r="AG32" i="79"/>
  <c r="AC42" i="79"/>
  <c r="AH32" i="79"/>
  <c r="AI38" i="79"/>
  <c r="AC32" i="79"/>
  <c r="AL31" i="79"/>
  <c r="AH41" i="79"/>
  <c r="AD41" i="79"/>
  <c r="AI40" i="79"/>
  <c r="AI28" i="79"/>
  <c r="AN28" i="79" s="1"/>
  <c r="C229" i="52" s="1"/>
  <c r="AI27" i="79"/>
  <c r="AI41" i="79"/>
  <c r="AK42" i="79"/>
  <c r="AF31" i="79"/>
  <c r="AI39" i="79"/>
  <c r="AF42" i="79"/>
  <c r="AI29" i="79"/>
  <c r="AK32" i="79"/>
  <c r="AJ42" i="79"/>
  <c r="AM31" i="79"/>
  <c r="AE31" i="79"/>
  <c r="AH42" i="79"/>
  <c r="AJ25" i="79"/>
  <c r="AG24" i="79"/>
  <c r="AI21" i="79"/>
  <c r="AE42" i="79"/>
  <c r="AK43" i="79"/>
  <c r="AD42" i="79"/>
  <c r="AG25" i="79"/>
  <c r="AF43" i="79"/>
  <c r="AJ34" i="79"/>
  <c r="AC43" i="79"/>
  <c r="AH26" i="79"/>
  <c r="AK25" i="79"/>
  <c r="AM25" i="79"/>
  <c r="AI42" i="79"/>
  <c r="AI34" i="79"/>
  <c r="AM32" i="79"/>
  <c r="AG34" i="79"/>
  <c r="AK35" i="79"/>
  <c r="AL32" i="79"/>
  <c r="AF32" i="79"/>
  <c r="AL25" i="79"/>
  <c r="AJ26" i="79"/>
  <c r="AF26" i="79"/>
  <c r="AH35" i="79"/>
  <c r="AJ43" i="79"/>
  <c r="AK34" i="79"/>
  <c r="AJ35" i="79"/>
  <c r="AH34" i="79"/>
  <c r="AH43" i="79"/>
  <c r="AD25" i="79"/>
  <c r="AL42" i="79"/>
  <c r="AG35" i="79"/>
  <c r="AE32" i="79"/>
  <c r="AD32" i="79"/>
  <c r="AG44" i="79"/>
  <c r="AI35" i="79"/>
  <c r="AE43" i="79"/>
  <c r="AJ37" i="79"/>
  <c r="AI37" i="79"/>
  <c r="AH36" i="79"/>
  <c r="AG26" i="79"/>
  <c r="AI36" i="79"/>
  <c r="AL34" i="79"/>
  <c r="AI43" i="79"/>
  <c r="AE44" i="79"/>
  <c r="AG45" i="79"/>
  <c r="AD34" i="79"/>
  <c r="AE34" i="79"/>
  <c r="AF35" i="79"/>
  <c r="AC44" i="79"/>
  <c r="AJ36" i="79"/>
  <c r="AM26" i="79"/>
  <c r="AK36" i="79"/>
  <c r="AD44" i="79"/>
  <c r="AG37" i="79"/>
  <c r="AF34" i="79"/>
  <c r="AL43" i="79"/>
  <c r="AD26" i="79"/>
  <c r="AH37" i="79"/>
  <c r="AK37" i="79"/>
  <c r="AD43" i="79"/>
  <c r="AD35" i="79"/>
  <c r="AE35" i="79"/>
  <c r="AL35" i="79"/>
  <c r="AM35" i="79"/>
  <c r="AK44" i="79"/>
  <c r="AJ44" i="79"/>
  <c r="AM34" i="79"/>
  <c r="AF44" i="79"/>
  <c r="AH44" i="79"/>
  <c r="AL44" i="79"/>
  <c r="AL26" i="79"/>
  <c r="AG36" i="79"/>
  <c r="AK26" i="79"/>
  <c r="AL45" i="79"/>
  <c r="AL36" i="79"/>
  <c r="AM37" i="79"/>
  <c r="AH45" i="79"/>
  <c r="AF37" i="79"/>
  <c r="AF36" i="79"/>
  <c r="AL37" i="79"/>
  <c r="AC45" i="79"/>
  <c r="AE45" i="79"/>
  <c r="AF45" i="79"/>
  <c r="AK45" i="79"/>
  <c r="AE36" i="79"/>
  <c r="AD45" i="79"/>
  <c r="AE37" i="79"/>
  <c r="AD36" i="79"/>
  <c r="AM36" i="79"/>
  <c r="AD37" i="79"/>
  <c r="AG46" i="79"/>
  <c r="AI44" i="79"/>
  <c r="AJ45" i="79"/>
  <c r="AD46" i="79"/>
  <c r="AH46" i="79"/>
  <c r="AG47" i="79"/>
  <c r="AK46" i="79"/>
  <c r="AE46" i="79"/>
  <c r="AL46" i="79"/>
  <c r="AJ46" i="79"/>
  <c r="AI45" i="79"/>
  <c r="AF46" i="79"/>
  <c r="AC46" i="79"/>
  <c r="AH47" i="79"/>
  <c r="AL47" i="79"/>
  <c r="AK47" i="79"/>
  <c r="AC47" i="79"/>
  <c r="AI46" i="79"/>
  <c r="AD47" i="79"/>
  <c r="AE47" i="79"/>
  <c r="AG48" i="79"/>
  <c r="AF47" i="79"/>
  <c r="AJ47" i="79"/>
  <c r="AD48" i="79"/>
  <c r="AH48" i="79"/>
  <c r="AC48" i="79"/>
  <c r="AJ48" i="79"/>
  <c r="AG49" i="79"/>
  <c r="AL48" i="79"/>
  <c r="AI47" i="79"/>
  <c r="AK48" i="79"/>
  <c r="AF48" i="79"/>
  <c r="AE48" i="79"/>
  <c r="AL49" i="79"/>
  <c r="AD49" i="79"/>
  <c r="AG50" i="79"/>
  <c r="AE49" i="79"/>
  <c r="AK49" i="79"/>
  <c r="AH49" i="79"/>
  <c r="AJ49" i="79"/>
  <c r="AC49" i="79"/>
  <c r="AF49" i="79"/>
  <c r="AI48" i="79"/>
  <c r="AH50" i="79"/>
  <c r="AK50" i="79"/>
  <c r="AI49" i="79"/>
  <c r="AC50" i="79"/>
  <c r="AL50" i="79"/>
  <c r="AD50" i="79"/>
  <c r="AG51" i="79"/>
  <c r="AE50" i="79"/>
  <c r="AF50" i="79"/>
  <c r="AJ50" i="79"/>
  <c r="AL51" i="79"/>
  <c r="AK51" i="79"/>
  <c r="AJ51" i="79"/>
  <c r="AE51" i="79"/>
  <c r="AD51" i="79"/>
  <c r="AH51" i="79"/>
  <c r="AC51" i="79"/>
  <c r="AI50" i="79"/>
  <c r="AF51" i="79"/>
  <c r="AG52" i="79"/>
  <c r="AL52" i="79"/>
  <c r="AJ52" i="79"/>
  <c r="AC52" i="79"/>
  <c r="AH52" i="79"/>
  <c r="AE52" i="79"/>
  <c r="AG53" i="79"/>
  <c r="AI51" i="79"/>
  <c r="AD52" i="79"/>
  <c r="AK52" i="79"/>
  <c r="AF52" i="79"/>
  <c r="AH53" i="79"/>
  <c r="AD53" i="79"/>
  <c r="AF53" i="79"/>
  <c r="AL53" i="79"/>
  <c r="AI52" i="79"/>
  <c r="AC53" i="79"/>
  <c r="AJ53" i="79"/>
  <c r="AE53" i="79"/>
  <c r="AG54" i="79"/>
  <c r="AK53" i="79"/>
  <c r="AD54" i="79"/>
  <c r="AL54" i="79"/>
  <c r="AF54" i="79"/>
  <c r="AH54" i="79"/>
  <c r="AJ54" i="79"/>
  <c r="AK54" i="79"/>
  <c r="AG55" i="79"/>
  <c r="AI53" i="79"/>
  <c r="AC54" i="79"/>
  <c r="AE54" i="79"/>
  <c r="AL55" i="79"/>
  <c r="AK55" i="79"/>
  <c r="AI54" i="79"/>
  <c r="AD55" i="79"/>
  <c r="AJ55" i="79"/>
  <c r="AE55" i="79"/>
  <c r="AC55" i="79"/>
  <c r="AH55" i="79"/>
  <c r="AG56" i="79"/>
  <c r="AF55" i="79"/>
  <c r="AH56" i="79"/>
  <c r="AC56" i="79"/>
  <c r="AF56" i="79"/>
  <c r="AL56" i="79"/>
  <c r="AJ56" i="79"/>
  <c r="AI55" i="79"/>
  <c r="AK56" i="79"/>
  <c r="AD56" i="79"/>
  <c r="AE56" i="79"/>
  <c r="AG57" i="79"/>
  <c r="AD57" i="79"/>
  <c r="AJ57" i="79"/>
  <c r="AI56" i="79"/>
  <c r="AE57" i="79"/>
  <c r="AH57" i="79"/>
  <c r="AK57" i="79"/>
  <c r="AF57" i="79"/>
  <c r="AC57" i="79"/>
  <c r="AL57" i="79"/>
  <c r="AG58" i="79"/>
  <c r="AH58" i="79"/>
  <c r="AK58" i="79"/>
  <c r="AI57" i="79"/>
  <c r="AJ58" i="79"/>
  <c r="AF58" i="79"/>
  <c r="AD58" i="79"/>
  <c r="AL58" i="79"/>
  <c r="AE58" i="79"/>
  <c r="AC58" i="79"/>
  <c r="AI58" i="79"/>
  <c r="E173" i="2"/>
  <c r="E158" i="2"/>
  <c r="D105" i="2"/>
  <c r="D106" i="2" s="1"/>
  <c r="D107" i="2" s="1"/>
  <c r="D108" i="2" s="1"/>
  <c r="D109" i="2" s="1"/>
  <c r="D110" i="2" s="1"/>
  <c r="D111" i="2" s="1"/>
  <c r="D112" i="2" s="1"/>
  <c r="D113" i="2" s="1"/>
  <c r="D114" i="2" s="1"/>
  <c r="D115" i="2" s="1"/>
  <c r="D116" i="2" s="1"/>
  <c r="D117" i="2" s="1"/>
  <c r="D118" i="2" s="1"/>
  <c r="D119" i="2" s="1"/>
  <c r="D120" i="2" s="1"/>
  <c r="D121" i="2" s="1"/>
  <c r="D122" i="2" s="1"/>
  <c r="D123" i="2" s="1"/>
  <c r="D124" i="2" s="1"/>
  <c r="D125" i="2" s="1"/>
  <c r="D126" i="2" s="1"/>
  <c r="D127" i="2" s="1"/>
  <c r="D128" i="2" s="1"/>
  <c r="D129" i="2" s="1"/>
  <c r="D130" i="2" s="1"/>
  <c r="D131" i="2" s="1"/>
  <c r="D132" i="2" s="1"/>
  <c r="D133" i="2" s="1"/>
  <c r="D134" i="2" s="1"/>
  <c r="D135" i="2" s="1"/>
  <c r="D136" i="2" s="1"/>
  <c r="D137" i="2" s="1"/>
  <c r="D138" i="2" s="1"/>
  <c r="D139" i="2" s="1"/>
  <c r="E102" i="2"/>
  <c r="E101" i="2"/>
  <c r="E100" i="2"/>
  <c r="E98" i="2"/>
  <c r="J34" i="44"/>
  <c r="J33" i="44"/>
  <c r="C80" i="2" s="1"/>
  <c r="J32" i="44"/>
  <c r="C79" i="2" s="1"/>
  <c r="J31" i="44"/>
  <c r="C78" i="2" s="1"/>
  <c r="J30" i="44"/>
  <c r="J29" i="44"/>
  <c r="C77" i="2" s="1"/>
  <c r="E29" i="44"/>
  <c r="C71" i="2" s="1"/>
  <c r="E35" i="44"/>
  <c r="E34" i="44"/>
  <c r="E33" i="44"/>
  <c r="E32" i="44"/>
  <c r="C73" i="2" s="1"/>
  <c r="E31" i="44"/>
  <c r="C72" i="2" s="1"/>
  <c r="E30" i="44"/>
  <c r="C21" i="44"/>
  <c r="C60" i="2" s="1"/>
  <c r="C19" i="44"/>
  <c r="C59" i="2" s="1"/>
  <c r="D19" i="44"/>
  <c r="C65" i="2" s="1"/>
  <c r="D23" i="44"/>
  <c r="D24" i="44"/>
  <c r="D22" i="44"/>
  <c r="C67" i="2" s="1"/>
  <c r="C22" i="44"/>
  <c r="C61" i="2" s="1"/>
  <c r="D21" i="44"/>
  <c r="C66" i="2" s="1"/>
  <c r="D20" i="44"/>
  <c r="C20" i="44"/>
  <c r="W92" i="36"/>
  <c r="V92" i="36"/>
  <c r="U92" i="36"/>
  <c r="T92" i="36"/>
  <c r="S92" i="36"/>
  <c r="R92" i="36"/>
  <c r="Q92" i="36"/>
  <c r="P92" i="36"/>
  <c r="O92" i="36"/>
  <c r="D75" i="36"/>
  <c r="D76" i="36"/>
  <c r="D86" i="36" s="1"/>
  <c r="D85" i="36"/>
  <c r="D84" i="36"/>
  <c r="D83" i="36"/>
  <c r="D82" i="36"/>
  <c r="D81" i="36"/>
  <c r="D80" i="36"/>
  <c r="D79" i="36"/>
  <c r="D78" i="36"/>
  <c r="D77" i="36"/>
  <c r="D25" i="36"/>
  <c r="C74" i="2" l="1"/>
  <c r="C68" i="2"/>
  <c r="AN41" i="79"/>
  <c r="C242" i="52" s="1"/>
  <c r="C140" i="2"/>
  <c r="D140" i="2"/>
  <c r="D141" i="2" s="1"/>
  <c r="D142" i="2" s="1"/>
  <c r="D143" i="2" s="1"/>
  <c r="D144" i="2" s="1"/>
  <c r="D145" i="2" s="1"/>
  <c r="D146" i="2" s="1"/>
  <c r="D147" i="2" s="1"/>
  <c r="D148" i="2" s="1"/>
  <c r="D149" i="2" s="1"/>
  <c r="D150" i="2" s="1"/>
  <c r="AN58" i="79"/>
  <c r="AN55" i="79"/>
  <c r="AN50" i="79"/>
  <c r="AN43" i="79"/>
  <c r="C244" i="52" s="1"/>
  <c r="AN30" i="79"/>
  <c r="C231" i="52" s="1"/>
  <c r="D231" i="52" s="1"/>
  <c r="AN33" i="79"/>
  <c r="C234" i="52" s="1"/>
  <c r="D234" i="52" s="1"/>
  <c r="AN60" i="79"/>
  <c r="AN59" i="79"/>
  <c r="AN45" i="79"/>
  <c r="C246" i="52" s="1"/>
  <c r="AN38" i="79"/>
  <c r="C239" i="52" s="1"/>
  <c r="E239" i="52" s="1"/>
  <c r="AN53" i="79"/>
  <c r="AN48" i="79"/>
  <c r="C249" i="52" s="1"/>
  <c r="AN42" i="79"/>
  <c r="C243" i="52" s="1"/>
  <c r="AN57" i="79"/>
  <c r="AN52" i="79"/>
  <c r="AN51" i="79"/>
  <c r="AN49" i="79"/>
  <c r="C250" i="52" s="1"/>
  <c r="AN47" i="79"/>
  <c r="C248" i="52" s="1"/>
  <c r="AN46" i="79"/>
  <c r="C247" i="52" s="1"/>
  <c r="AN44" i="79"/>
  <c r="C245" i="52" s="1"/>
  <c r="AN25" i="79"/>
  <c r="C226" i="52" s="1"/>
  <c r="AN39" i="79"/>
  <c r="C240" i="52" s="1"/>
  <c r="AN27" i="79"/>
  <c r="C228" i="52" s="1"/>
  <c r="AN26" i="79"/>
  <c r="C227" i="52" s="1"/>
  <c r="E229" i="52"/>
  <c r="D229" i="52"/>
  <c r="AN31" i="79"/>
  <c r="C232" i="52" s="1"/>
  <c r="AN56" i="79"/>
  <c r="AN54" i="79"/>
  <c r="AN21" i="79"/>
  <c r="C222" i="52" s="1"/>
  <c r="AN29" i="79"/>
  <c r="C230" i="52" s="1"/>
  <c r="AN40" i="79"/>
  <c r="C241" i="52" s="1"/>
  <c r="AN32" i="79"/>
  <c r="C233" i="52" s="1"/>
  <c r="AN22" i="79"/>
  <c r="C223" i="52" s="1"/>
  <c r="AN24" i="79"/>
  <c r="C225" i="52" s="1"/>
  <c r="AN23" i="79"/>
  <c r="C224" i="52" s="1"/>
  <c r="L9" i="41"/>
  <c r="K9" i="41"/>
  <c r="G6" i="54"/>
  <c r="J9" i="41"/>
  <c r="L10" i="41"/>
  <c r="K10" i="41"/>
  <c r="L11" i="41"/>
  <c r="K11" i="41"/>
  <c r="G7" i="54"/>
  <c r="G8" i="54"/>
  <c r="J11" i="41"/>
  <c r="J10" i="41"/>
  <c r="G9" i="54"/>
  <c r="L12" i="41"/>
  <c r="J12" i="41"/>
  <c r="K12" i="41"/>
  <c r="D247" i="52" l="1"/>
  <c r="E247" i="52"/>
  <c r="D248" i="52"/>
  <c r="E248" i="52"/>
  <c r="D242" i="52"/>
  <c r="E242" i="52"/>
  <c r="D250" i="52"/>
  <c r="E250" i="52"/>
  <c r="D243" i="52"/>
  <c r="E243" i="52"/>
  <c r="D246" i="52"/>
  <c r="E246" i="52"/>
  <c r="D241" i="52"/>
  <c r="E241" i="52"/>
  <c r="D245" i="52"/>
  <c r="E245" i="52"/>
  <c r="D249" i="52"/>
  <c r="E249" i="52"/>
  <c r="D244" i="52"/>
  <c r="E244" i="52"/>
  <c r="E140" i="2"/>
  <c r="C141" i="2"/>
  <c r="D239" i="52"/>
  <c r="E231" i="52"/>
  <c r="E234" i="52"/>
  <c r="E224" i="52"/>
  <c r="D224" i="52"/>
  <c r="D232" i="52"/>
  <c r="E232" i="52"/>
  <c r="D226" i="52"/>
  <c r="E226" i="52"/>
  <c r="G35" i="54"/>
  <c r="G36" i="54"/>
  <c r="G37" i="54"/>
  <c r="G38" i="54"/>
  <c r="G39" i="54"/>
  <c r="G40" i="54"/>
  <c r="G41" i="54"/>
  <c r="G42" i="54"/>
  <c r="G43" i="54"/>
  <c r="G44" i="54"/>
  <c r="G45" i="54"/>
  <c r="G46" i="54"/>
  <c r="G47" i="54"/>
  <c r="G48" i="54"/>
  <c r="G49" i="54"/>
  <c r="G50" i="54"/>
  <c r="G51" i="54"/>
  <c r="G52" i="54"/>
  <c r="G53" i="54"/>
  <c r="G55" i="54"/>
  <c r="G54" i="54"/>
  <c r="D225" i="52"/>
  <c r="E225" i="52"/>
  <c r="D230" i="52"/>
  <c r="E230" i="52"/>
  <c r="D227" i="52"/>
  <c r="E227" i="52"/>
  <c r="D223" i="52"/>
  <c r="E223" i="52"/>
  <c r="D222" i="52"/>
  <c r="E222" i="52"/>
  <c r="D228" i="52"/>
  <c r="E228" i="52"/>
  <c r="H35" i="54"/>
  <c r="H36" i="54"/>
  <c r="H37" i="54"/>
  <c r="H38" i="54"/>
  <c r="H39" i="54"/>
  <c r="H40" i="54"/>
  <c r="H41" i="54"/>
  <c r="H42" i="54"/>
  <c r="H43" i="54"/>
  <c r="H44" i="54"/>
  <c r="H45" i="54"/>
  <c r="H46" i="54"/>
  <c r="H47" i="54"/>
  <c r="H48" i="54"/>
  <c r="H49" i="54"/>
  <c r="H50" i="54"/>
  <c r="H51" i="54"/>
  <c r="H52" i="54"/>
  <c r="H53" i="54"/>
  <c r="H54" i="54"/>
  <c r="H55" i="54"/>
  <c r="F35" i="54"/>
  <c r="F36" i="54"/>
  <c r="F37" i="54"/>
  <c r="F38" i="54"/>
  <c r="F39" i="54"/>
  <c r="F40" i="54"/>
  <c r="F41" i="54"/>
  <c r="F42" i="54"/>
  <c r="F43" i="54"/>
  <c r="F44" i="54"/>
  <c r="F45" i="54"/>
  <c r="F46" i="54"/>
  <c r="F47" i="54"/>
  <c r="F48" i="54"/>
  <c r="F49" i="54"/>
  <c r="F50" i="54"/>
  <c r="F51" i="54"/>
  <c r="F52" i="54"/>
  <c r="F53" i="54"/>
  <c r="F55" i="54"/>
  <c r="F54" i="54"/>
  <c r="E233" i="52"/>
  <c r="D233" i="52"/>
  <c r="D240" i="52"/>
  <c r="E240" i="52"/>
  <c r="H7" i="76"/>
  <c r="F17" i="54"/>
  <c r="F25" i="54"/>
  <c r="F16" i="54"/>
  <c r="F18" i="54"/>
  <c r="G27" i="54"/>
  <c r="G16" i="54"/>
  <c r="G17" i="54"/>
  <c r="G18" i="54"/>
  <c r="H17" i="54"/>
  <c r="H18" i="54"/>
  <c r="H16" i="54"/>
  <c r="H19" i="54"/>
  <c r="H20" i="54"/>
  <c r="H21" i="54"/>
  <c r="H22" i="54"/>
  <c r="H23" i="54"/>
  <c r="H24" i="54"/>
  <c r="H25" i="54"/>
  <c r="H26" i="54"/>
  <c r="H27" i="54"/>
  <c r="H28" i="54"/>
  <c r="H29" i="54"/>
  <c r="H30" i="54"/>
  <c r="H31" i="54"/>
  <c r="H32" i="54"/>
  <c r="H33" i="54"/>
  <c r="H34" i="54"/>
  <c r="G19" i="54"/>
  <c r="G20" i="54"/>
  <c r="G21" i="54"/>
  <c r="G22" i="54"/>
  <c r="G23" i="54"/>
  <c r="G24" i="54"/>
  <c r="G26" i="54"/>
  <c r="G25" i="54"/>
  <c r="G28" i="54"/>
  <c r="G29" i="54"/>
  <c r="G30" i="54"/>
  <c r="G31" i="54"/>
  <c r="G32" i="54"/>
  <c r="G33" i="54"/>
  <c r="G34" i="54"/>
  <c r="F20" i="54"/>
  <c r="F19" i="54"/>
  <c r="J19" i="54" s="1"/>
  <c r="F22" i="54"/>
  <c r="F21" i="54"/>
  <c r="J21" i="54" s="1"/>
  <c r="F24" i="54"/>
  <c r="F23" i="54"/>
  <c r="J23" i="54" s="1"/>
  <c r="F26" i="54"/>
  <c r="F27" i="54"/>
  <c r="F28" i="54"/>
  <c r="F29" i="54"/>
  <c r="F30" i="54"/>
  <c r="F31" i="54"/>
  <c r="F32" i="54"/>
  <c r="F33" i="54"/>
  <c r="F34" i="54"/>
  <c r="AU32" i="41"/>
  <c r="AA32" i="41"/>
  <c r="AD32" i="41"/>
  <c r="AG32" i="41"/>
  <c r="AO32" i="41"/>
  <c r="AL32" i="41"/>
  <c r="AC32" i="41"/>
  <c r="AJ32" i="41"/>
  <c r="AB32" i="41"/>
  <c r="AK32" i="41"/>
  <c r="AI32" i="41"/>
  <c r="AR32" i="41"/>
  <c r="AH32" i="41"/>
  <c r="AM32" i="41"/>
  <c r="AP32" i="41"/>
  <c r="AN32" i="41"/>
  <c r="AS32" i="41"/>
  <c r="AQ32" i="41"/>
  <c r="AF32" i="41"/>
  <c r="AT32" i="41"/>
  <c r="AE32" i="41"/>
  <c r="AU24" i="41"/>
  <c r="AA24" i="41"/>
  <c r="AQ24" i="41"/>
  <c r="AL24" i="41"/>
  <c r="AE24" i="41"/>
  <c r="AJ24" i="41"/>
  <c r="AO24" i="41"/>
  <c r="AI24" i="41"/>
  <c r="AC24" i="41"/>
  <c r="AR24" i="41"/>
  <c r="AS24" i="41"/>
  <c r="AB24" i="41"/>
  <c r="AT24" i="41"/>
  <c r="AM24" i="41"/>
  <c r="AF24" i="41"/>
  <c r="AG24" i="41"/>
  <c r="AD24" i="41"/>
  <c r="AK24" i="41"/>
  <c r="AN24" i="41"/>
  <c r="AP24" i="41"/>
  <c r="AH24" i="41"/>
  <c r="AA20" i="41"/>
  <c r="AU20" i="41"/>
  <c r="AK20" i="41"/>
  <c r="AC20" i="41"/>
  <c r="AE20" i="41"/>
  <c r="AJ20" i="41"/>
  <c r="AT20" i="41"/>
  <c r="AD20" i="41"/>
  <c r="AP20" i="41"/>
  <c r="AN20" i="41"/>
  <c r="AM20" i="41"/>
  <c r="AS20" i="41"/>
  <c r="AQ20" i="41"/>
  <c r="AO20" i="41"/>
  <c r="AI20" i="41"/>
  <c r="AL20" i="41"/>
  <c r="AH20" i="41"/>
  <c r="AF20" i="41"/>
  <c r="AR20" i="41"/>
  <c r="AB20" i="41"/>
  <c r="AG20" i="41"/>
  <c r="Y32" i="41"/>
  <c r="E32" i="41"/>
  <c r="V32" i="41"/>
  <c r="T32" i="41"/>
  <c r="P32" i="41"/>
  <c r="F32" i="41"/>
  <c r="M32" i="41"/>
  <c r="L32" i="41"/>
  <c r="G32" i="41"/>
  <c r="K32" i="41"/>
  <c r="W32" i="41"/>
  <c r="S32" i="41"/>
  <c r="H32" i="41"/>
  <c r="I32" i="41"/>
  <c r="O32" i="41"/>
  <c r="J32" i="41"/>
  <c r="Q32" i="41"/>
  <c r="R32" i="41"/>
  <c r="X32" i="41"/>
  <c r="U32" i="41"/>
  <c r="N32" i="41"/>
  <c r="BQ24" i="41"/>
  <c r="AW24" i="41"/>
  <c r="BD24" i="41"/>
  <c r="BF24" i="41"/>
  <c r="AZ24" i="41"/>
  <c r="AY24" i="41"/>
  <c r="BP24" i="41"/>
  <c r="BB24" i="41"/>
  <c r="BG24" i="41"/>
  <c r="BE24" i="41"/>
  <c r="BA24" i="41"/>
  <c r="BO24" i="41"/>
  <c r="BI24" i="41"/>
  <c r="AX24" i="41"/>
  <c r="BM24" i="41"/>
  <c r="BK24" i="41"/>
  <c r="BH24" i="41"/>
  <c r="BC24" i="41"/>
  <c r="BN24" i="41"/>
  <c r="BL24" i="41"/>
  <c r="BJ24" i="41"/>
  <c r="AW20" i="41"/>
  <c r="BQ20" i="41"/>
  <c r="BO20" i="41"/>
  <c r="AZ20" i="41"/>
  <c r="BE20" i="41"/>
  <c r="BF20" i="41"/>
  <c r="BP20" i="41"/>
  <c r="BJ20" i="41"/>
  <c r="BC20" i="41"/>
  <c r="BH20" i="41"/>
  <c r="BK20" i="41"/>
  <c r="BG20" i="41"/>
  <c r="BM20" i="41"/>
  <c r="BB20" i="41"/>
  <c r="BA20" i="41"/>
  <c r="BI20" i="41"/>
  <c r="BD20" i="41"/>
  <c r="AY20" i="41"/>
  <c r="BN20" i="41"/>
  <c r="BL20" i="41"/>
  <c r="AX20" i="41"/>
  <c r="BQ32" i="41"/>
  <c r="AW32" i="41"/>
  <c r="BC32" i="41"/>
  <c r="AZ32" i="41"/>
  <c r="BM32" i="41"/>
  <c r="BD32" i="41"/>
  <c r="BJ32" i="41"/>
  <c r="BL32" i="41"/>
  <c r="AX32" i="41"/>
  <c r="BN32" i="41"/>
  <c r="BI32" i="41"/>
  <c r="BO32" i="41"/>
  <c r="BB32" i="41"/>
  <c r="BK32" i="41"/>
  <c r="AY32" i="41"/>
  <c r="BF32" i="41"/>
  <c r="BE32" i="41"/>
  <c r="BP32" i="41"/>
  <c r="BH32" i="41"/>
  <c r="BA32" i="41"/>
  <c r="BG32" i="41"/>
  <c r="Y24" i="41"/>
  <c r="E24" i="41"/>
  <c r="T24" i="41"/>
  <c r="L24" i="41"/>
  <c r="S24" i="41"/>
  <c r="V24" i="41"/>
  <c r="N24" i="41"/>
  <c r="W24" i="41"/>
  <c r="K24" i="41"/>
  <c r="H24" i="41"/>
  <c r="R24" i="41"/>
  <c r="X24" i="41"/>
  <c r="U24" i="41"/>
  <c r="G24" i="41"/>
  <c r="F24" i="41"/>
  <c r="O24" i="41"/>
  <c r="I24" i="41"/>
  <c r="Q24" i="41"/>
  <c r="P24" i="41"/>
  <c r="J24" i="41"/>
  <c r="M24" i="41"/>
  <c r="AA28" i="41"/>
  <c r="AU28" i="41"/>
  <c r="AQ28" i="41"/>
  <c r="AG28" i="41"/>
  <c r="AL28" i="41"/>
  <c r="AC28" i="41"/>
  <c r="AM28" i="41"/>
  <c r="AO28" i="41"/>
  <c r="AI28" i="41"/>
  <c r="AF28" i="41"/>
  <c r="AE28" i="41"/>
  <c r="AJ28" i="41"/>
  <c r="AN28" i="41"/>
  <c r="AT28" i="41"/>
  <c r="AK28" i="41"/>
  <c r="AR28" i="41"/>
  <c r="AB28" i="41"/>
  <c r="AP28" i="41"/>
  <c r="AH28" i="41"/>
  <c r="AS28" i="41"/>
  <c r="AD28" i="41"/>
  <c r="E20" i="41"/>
  <c r="Y20" i="41"/>
  <c r="O20" i="41"/>
  <c r="H20" i="41"/>
  <c r="G20" i="41"/>
  <c r="R20" i="41"/>
  <c r="Q20" i="41"/>
  <c r="U20" i="41"/>
  <c r="J20" i="41"/>
  <c r="V20" i="41"/>
  <c r="T20" i="41"/>
  <c r="I20" i="41"/>
  <c r="W20" i="41"/>
  <c r="M20" i="41"/>
  <c r="P20" i="41"/>
  <c r="S20" i="41"/>
  <c r="L20" i="41"/>
  <c r="K20" i="41"/>
  <c r="F20" i="41"/>
  <c r="N20" i="41"/>
  <c r="X20" i="41"/>
  <c r="E28" i="41"/>
  <c r="Y28" i="41"/>
  <c r="O28" i="41"/>
  <c r="P28" i="41"/>
  <c r="J28" i="41"/>
  <c r="G28" i="41"/>
  <c r="U28" i="41"/>
  <c r="I28" i="41"/>
  <c r="N28" i="41"/>
  <c r="K28" i="41"/>
  <c r="Q28" i="41"/>
  <c r="F28" i="41"/>
  <c r="T28" i="41"/>
  <c r="V28" i="41"/>
  <c r="W28" i="41"/>
  <c r="X28" i="41"/>
  <c r="M28" i="41"/>
  <c r="H28" i="41"/>
  <c r="L28" i="41"/>
  <c r="S28" i="41"/>
  <c r="R28" i="41"/>
  <c r="BQ28" i="41"/>
  <c r="AW28" i="41"/>
  <c r="BM28" i="41"/>
  <c r="AY28" i="41"/>
  <c r="BF28" i="41"/>
  <c r="AZ28" i="41"/>
  <c r="BB28" i="41"/>
  <c r="BK28" i="41"/>
  <c r="BE28" i="41"/>
  <c r="BH28" i="41"/>
  <c r="BP28" i="41"/>
  <c r="BL28" i="41"/>
  <c r="BO28" i="41"/>
  <c r="BI28" i="41"/>
  <c r="AX28" i="41"/>
  <c r="BA28" i="41"/>
  <c r="BG28" i="41"/>
  <c r="BC28" i="41"/>
  <c r="BD28" i="41"/>
  <c r="BN28" i="41"/>
  <c r="BJ28" i="41"/>
  <c r="C142" i="2" l="1"/>
  <c r="E141" i="2"/>
  <c r="J55" i="54"/>
  <c r="J47" i="54"/>
  <c r="J43" i="54"/>
  <c r="D33" i="52" s="1"/>
  <c r="J39" i="54"/>
  <c r="D29" i="52" s="1"/>
  <c r="J35" i="54"/>
  <c r="D25" i="52" s="1"/>
  <c r="J41" i="54"/>
  <c r="D31" i="52" s="1"/>
  <c r="J52" i="54"/>
  <c r="J36" i="54"/>
  <c r="D26" i="52" s="1"/>
  <c r="J48" i="54"/>
  <c r="J44" i="54"/>
  <c r="D34" i="52" s="1"/>
  <c r="J40" i="54"/>
  <c r="D30" i="52" s="1"/>
  <c r="J54" i="54"/>
  <c r="J51" i="54"/>
  <c r="J27" i="54"/>
  <c r="D17" i="52" s="1"/>
  <c r="J38" i="54"/>
  <c r="D28" i="52" s="1"/>
  <c r="J50" i="54"/>
  <c r="J46" i="54"/>
  <c r="J42" i="54"/>
  <c r="D32" i="52" s="1"/>
  <c r="J53" i="54"/>
  <c r="J49" i="54"/>
  <c r="J45" i="54"/>
  <c r="J37" i="54"/>
  <c r="D27" i="52" s="1"/>
  <c r="J22" i="54"/>
  <c r="D12" i="52" s="1"/>
  <c r="J34" i="54"/>
  <c r="D24" i="52" s="1"/>
  <c r="J26" i="54"/>
  <c r="D16" i="52" s="1"/>
  <c r="J30" i="54"/>
  <c r="D20" i="52" s="1"/>
  <c r="J18" i="54"/>
  <c r="D8" i="52" s="1"/>
  <c r="J32" i="54"/>
  <c r="D22" i="52" s="1"/>
  <c r="J28" i="54"/>
  <c r="D18" i="52" s="1"/>
  <c r="J31" i="54"/>
  <c r="D21" i="52" s="1"/>
  <c r="J17" i="54"/>
  <c r="D7" i="52" s="1"/>
  <c r="J33" i="54"/>
  <c r="D23" i="52" s="1"/>
  <c r="J29" i="54"/>
  <c r="D19" i="52" s="1"/>
  <c r="J16" i="54"/>
  <c r="D6" i="52" s="1"/>
  <c r="J24" i="54"/>
  <c r="D14" i="52" s="1"/>
  <c r="J20" i="54"/>
  <c r="D10" i="52" s="1"/>
  <c r="J25" i="54"/>
  <c r="D15" i="52" s="1"/>
  <c r="D9" i="52"/>
  <c r="D11" i="52"/>
  <c r="D13" i="52"/>
  <c r="E35" i="41"/>
  <c r="K52" i="41" s="1"/>
  <c r="H35" i="41"/>
  <c r="K55" i="41" s="1"/>
  <c r="AX35" i="41"/>
  <c r="M53" i="41" s="1"/>
  <c r="BM35" i="41"/>
  <c r="M68" i="41" s="1"/>
  <c r="BE35" i="41"/>
  <c r="M60" i="41" s="1"/>
  <c r="AI35" i="41"/>
  <c r="L60" i="41" s="1"/>
  <c r="AQ35" i="41"/>
  <c r="L68" i="41" s="1"/>
  <c r="S35" i="41"/>
  <c r="K66" i="41" s="1"/>
  <c r="I35" i="41"/>
  <c r="K56" i="41" s="1"/>
  <c r="U35" i="41"/>
  <c r="K68" i="41" s="1"/>
  <c r="BD35" i="41"/>
  <c r="M59" i="41" s="1"/>
  <c r="AM35" i="41"/>
  <c r="L64" i="41" s="1"/>
  <c r="AK35" i="41"/>
  <c r="L62" i="41" s="1"/>
  <c r="BC35" i="41"/>
  <c r="M58" i="41" s="1"/>
  <c r="AW35" i="41"/>
  <c r="AR35" i="41"/>
  <c r="L69" i="41" s="1"/>
  <c r="Q35" i="41"/>
  <c r="K64" i="41" s="1"/>
  <c r="O35" i="41"/>
  <c r="K62" i="41" s="1"/>
  <c r="BG35" i="41"/>
  <c r="M62" i="41" s="1"/>
  <c r="AO35" i="41"/>
  <c r="L66" i="41" s="1"/>
  <c r="N35" i="41"/>
  <c r="K61" i="41" s="1"/>
  <c r="AT35" i="41"/>
  <c r="L71" i="41" s="1"/>
  <c r="F35" i="41"/>
  <c r="K53" i="41" s="1"/>
  <c r="P35" i="41"/>
  <c r="K63" i="41" s="1"/>
  <c r="T35" i="41"/>
  <c r="K67" i="41" s="1"/>
  <c r="BL35" i="41"/>
  <c r="M67" i="41" s="1"/>
  <c r="BI35" i="41"/>
  <c r="BJ35" i="41"/>
  <c r="M65" i="41" s="1"/>
  <c r="AZ35" i="41"/>
  <c r="M55" i="41" s="1"/>
  <c r="AF35" i="41"/>
  <c r="L57" i="41" s="1"/>
  <c r="AN35" i="41"/>
  <c r="L65" i="41" s="1"/>
  <c r="AJ35" i="41"/>
  <c r="L61" i="41" s="1"/>
  <c r="AU35" i="41"/>
  <c r="L72" i="41" s="1"/>
  <c r="K35" i="41"/>
  <c r="K58" i="41" s="1"/>
  <c r="M35" i="41"/>
  <c r="K60" i="41" s="1"/>
  <c r="V35" i="41"/>
  <c r="K69" i="41" s="1"/>
  <c r="R35" i="41"/>
  <c r="K65" i="41" s="1"/>
  <c r="Y35" i="41"/>
  <c r="K72" i="41" s="1"/>
  <c r="BN35" i="41"/>
  <c r="M69" i="41" s="1"/>
  <c r="BA35" i="41"/>
  <c r="M56" i="41" s="1"/>
  <c r="BK35" i="41"/>
  <c r="M66" i="41" s="1"/>
  <c r="BP35" i="41"/>
  <c r="M71" i="41" s="1"/>
  <c r="BO35" i="41"/>
  <c r="M70" i="41" s="1"/>
  <c r="AG35" i="41"/>
  <c r="L58" i="41" s="1"/>
  <c r="AH35" i="41"/>
  <c r="L59" i="41" s="1"/>
  <c r="AP35" i="41"/>
  <c r="L67" i="41" s="1"/>
  <c r="AE35" i="41"/>
  <c r="L56" i="41" s="1"/>
  <c r="AA35" i="41"/>
  <c r="L52" i="41" s="1"/>
  <c r="X35" i="41"/>
  <c r="K71" i="41" s="1"/>
  <c r="L35" i="41"/>
  <c r="K59" i="41" s="1"/>
  <c r="W35" i="41"/>
  <c r="K70" i="41" s="1"/>
  <c r="J35" i="41"/>
  <c r="K57" i="41" s="1"/>
  <c r="G35" i="41"/>
  <c r="K54" i="41" s="1"/>
  <c r="AY35" i="41"/>
  <c r="M54" i="41" s="1"/>
  <c r="BB35" i="41"/>
  <c r="M57" i="41" s="1"/>
  <c r="BH35" i="41"/>
  <c r="M63" i="41" s="1"/>
  <c r="BF35" i="41"/>
  <c r="M61" i="41" s="1"/>
  <c r="BQ35" i="41"/>
  <c r="M72" i="41" s="1"/>
  <c r="AB35" i="41"/>
  <c r="L53" i="41" s="1"/>
  <c r="AL35" i="41"/>
  <c r="L63" i="41" s="1"/>
  <c r="AS35" i="41"/>
  <c r="L70" i="41" s="1"/>
  <c r="AD35" i="41"/>
  <c r="L55" i="41" s="1"/>
  <c r="AC35" i="41"/>
  <c r="L54" i="41" s="1"/>
  <c r="D35" i="52" l="1"/>
  <c r="E27" i="52"/>
  <c r="F27" i="52"/>
  <c r="E32" i="52"/>
  <c r="F32" i="52"/>
  <c r="E34" i="52"/>
  <c r="F34" i="52"/>
  <c r="E31" i="52"/>
  <c r="F31" i="52"/>
  <c r="E26" i="52"/>
  <c r="F26" i="52"/>
  <c r="E29" i="52"/>
  <c r="F29" i="52"/>
  <c r="E28" i="52"/>
  <c r="F28" i="52"/>
  <c r="E30" i="52"/>
  <c r="F30" i="52"/>
  <c r="E33" i="52"/>
  <c r="F33" i="52"/>
  <c r="F25" i="52"/>
  <c r="E25" i="52"/>
  <c r="C143" i="2"/>
  <c r="E142" i="2"/>
  <c r="E6" i="52"/>
  <c r="F6" i="52"/>
  <c r="E7" i="52"/>
  <c r="F7" i="52"/>
  <c r="E8" i="52"/>
  <c r="F8" i="52"/>
  <c r="D26" i="29"/>
  <c r="E21" i="52"/>
  <c r="F21" i="52"/>
  <c r="F17" i="52"/>
  <c r="E17" i="52"/>
  <c r="F13" i="52"/>
  <c r="E13" i="52"/>
  <c r="F11" i="52"/>
  <c r="E11" i="52"/>
  <c r="F24" i="52"/>
  <c r="E24" i="52"/>
  <c r="E10" i="52"/>
  <c r="F10" i="52"/>
  <c r="F16" i="52"/>
  <c r="E16" i="52"/>
  <c r="F22" i="52"/>
  <c r="E22" i="52"/>
  <c r="E23" i="52"/>
  <c r="F23" i="52"/>
  <c r="E15" i="52"/>
  <c r="F15" i="52"/>
  <c r="E12" i="52"/>
  <c r="F12" i="52"/>
  <c r="F14" i="52"/>
  <c r="E14" i="52"/>
  <c r="F18" i="52"/>
  <c r="E18" i="52"/>
  <c r="F19" i="52"/>
  <c r="E19" i="52"/>
  <c r="E20" i="52"/>
  <c r="F20" i="52"/>
  <c r="F9" i="52"/>
  <c r="E9" i="52"/>
  <c r="E41" i="41"/>
  <c r="N53" i="41"/>
  <c r="N57" i="41"/>
  <c r="N69" i="41"/>
  <c r="N72" i="41"/>
  <c r="N58" i="41"/>
  <c r="N70" i="41"/>
  <c r="N55" i="41"/>
  <c r="Q41" i="41"/>
  <c r="M64" i="41"/>
  <c r="M52" i="41"/>
  <c r="N65" i="41"/>
  <c r="N68" i="41"/>
  <c r="N59" i="41"/>
  <c r="L73" i="41"/>
  <c r="N67" i="41"/>
  <c r="N62" i="41"/>
  <c r="N56" i="41"/>
  <c r="N52" i="41"/>
  <c r="N54" i="41"/>
  <c r="N71" i="41"/>
  <c r="N60" i="41"/>
  <c r="N63" i="41"/>
  <c r="N61" i="41"/>
  <c r="N66" i="41"/>
  <c r="K73" i="41"/>
  <c r="M41" i="41"/>
  <c r="H41" i="41"/>
  <c r="U41" i="41"/>
  <c r="L41" i="41"/>
  <c r="O41" i="41"/>
  <c r="K41" i="41"/>
  <c r="I41" i="41"/>
  <c r="S41" i="41"/>
  <c r="P41" i="41"/>
  <c r="J41" i="41"/>
  <c r="R41" i="41"/>
  <c r="G41" i="41"/>
  <c r="X41" i="41"/>
  <c r="V41" i="41"/>
  <c r="F41" i="41"/>
  <c r="N41" i="41"/>
  <c r="W41" i="41"/>
  <c r="Y41" i="41"/>
  <c r="T41" i="41"/>
  <c r="B2" i="28"/>
  <c r="B2" i="29"/>
  <c r="B2" i="1"/>
  <c r="E35" i="52" l="1"/>
  <c r="E26" i="1" s="1"/>
  <c r="F35" i="52"/>
  <c r="E26" i="29" s="1"/>
  <c r="C144" i="2"/>
  <c r="E143" i="2"/>
  <c r="D26" i="1"/>
  <c r="AA17" i="52"/>
  <c r="AA13" i="52"/>
  <c r="AA16" i="52"/>
  <c r="AA15" i="52"/>
  <c r="AA10" i="52"/>
  <c r="AA23" i="52"/>
  <c r="AA19" i="52"/>
  <c r="AA18" i="52"/>
  <c r="AA11" i="52"/>
  <c r="AA24" i="52"/>
  <c r="AA22" i="52"/>
  <c r="AA12" i="52"/>
  <c r="AA14" i="52"/>
  <c r="AA20" i="52"/>
  <c r="AA9" i="52"/>
  <c r="N64" i="41"/>
  <c r="N73" i="41" s="1"/>
  <c r="O73" i="41" s="1"/>
  <c r="M73" i="41"/>
  <c r="E45" i="41"/>
  <c r="C145" i="2" l="1"/>
  <c r="E144" i="2"/>
  <c r="K77" i="41"/>
  <c r="M77" i="41"/>
  <c r="L77" i="41"/>
  <c r="C146" i="2" l="1"/>
  <c r="E145" i="2"/>
  <c r="AA21" i="52"/>
  <c r="AA35" i="52" s="1"/>
  <c r="C147" i="2" l="1"/>
  <c r="E146" i="2"/>
  <c r="C148" i="2" l="1"/>
  <c r="E147" i="2"/>
  <c r="E179" i="2"/>
  <c r="C149" i="2" l="1"/>
  <c r="E148" i="2"/>
  <c r="C169" i="2"/>
  <c r="C178" i="2" s="1"/>
  <c r="C168" i="2"/>
  <c r="C177" i="2" s="1"/>
  <c r="E177" i="2" s="1"/>
  <c r="C167" i="2"/>
  <c r="C176" i="2" s="1"/>
  <c r="C166" i="2"/>
  <c r="C175" i="2" s="1"/>
  <c r="C165" i="2"/>
  <c r="C174" i="2" s="1"/>
  <c r="C150" i="2" l="1"/>
  <c r="E150" i="2" s="1"/>
  <c r="E149" i="2"/>
  <c r="E174" i="2"/>
  <c r="E175" i="2"/>
  <c r="E176" i="2"/>
  <c r="E178" i="2"/>
  <c r="C44" i="36" l="1"/>
  <c r="G42" i="36"/>
  <c r="C6" i="36" s="1"/>
  <c r="D6" i="36" s="1"/>
  <c r="D41" i="36"/>
  <c r="F41" i="36" s="1"/>
  <c r="D40" i="36"/>
  <c r="D39" i="36"/>
  <c r="D38" i="36"/>
  <c r="D37" i="36"/>
  <c r="D36" i="36"/>
  <c r="D35" i="36"/>
  <c r="D34" i="36"/>
  <c r="D33" i="36"/>
  <c r="D32" i="36"/>
  <c r="D31" i="36"/>
  <c r="D30" i="36"/>
  <c r="D29" i="36"/>
  <c r="D28" i="36"/>
  <c r="D27" i="36"/>
  <c r="D26" i="36"/>
  <c r="D44" i="36" l="1"/>
  <c r="F40" i="36"/>
  <c r="G41" i="36"/>
  <c r="C7" i="36" s="1"/>
  <c r="D7" i="36" s="1"/>
  <c r="F39" i="36" l="1"/>
  <c r="G40" i="36"/>
  <c r="C8" i="36" s="1"/>
  <c r="D8" i="36" s="1"/>
  <c r="G39" i="36" l="1"/>
  <c r="C9" i="36" s="1"/>
  <c r="D9" i="36" s="1"/>
  <c r="F38" i="36"/>
  <c r="F37" i="36" l="1"/>
  <c r="G38" i="36"/>
  <c r="C10" i="36" s="1"/>
  <c r="D10" i="36" s="1"/>
  <c r="F36" i="36" l="1"/>
  <c r="G37" i="36"/>
  <c r="C11" i="36" s="1"/>
  <c r="D11" i="36" s="1"/>
  <c r="G36" i="36" l="1"/>
  <c r="C12" i="36" s="1"/>
  <c r="D12" i="36" s="1"/>
  <c r="F35" i="36"/>
  <c r="F34" i="36" l="1"/>
  <c r="G35" i="36"/>
  <c r="C13" i="36" s="1"/>
  <c r="D13" i="36" s="1"/>
  <c r="G34" i="36" l="1"/>
  <c r="C14" i="36" s="1"/>
  <c r="D14" i="36" s="1"/>
  <c r="F33" i="36"/>
  <c r="G33" i="36" l="1"/>
  <c r="C15" i="36" s="1"/>
  <c r="D15" i="36" s="1"/>
  <c r="F32" i="36"/>
  <c r="F31" i="36" l="1"/>
  <c r="G32" i="36"/>
  <c r="C16" i="36" s="1"/>
  <c r="D16" i="36" s="1"/>
  <c r="G31" i="36" l="1"/>
  <c r="C17" i="36" s="1"/>
  <c r="D17" i="36" s="1"/>
  <c r="F30" i="36"/>
  <c r="F29" i="36" l="1"/>
  <c r="G30" i="36"/>
  <c r="C18" i="36" s="1"/>
  <c r="D18" i="36" s="1"/>
  <c r="F28" i="36" l="1"/>
  <c r="G29" i="36"/>
  <c r="C19" i="36" s="1"/>
  <c r="G28" i="36" l="1"/>
  <c r="F27" i="36"/>
  <c r="F26" i="36" l="1"/>
  <c r="G27" i="36"/>
  <c r="G26" i="36" l="1"/>
  <c r="F25" i="36"/>
  <c r="G25" i="36" s="1"/>
  <c r="C10" i="28" l="1"/>
  <c r="O14" i="28" s="1"/>
  <c r="J14" i="28" l="1"/>
  <c r="I14" i="28"/>
  <c r="M14" i="28"/>
  <c r="N14" i="28"/>
  <c r="C14" i="28"/>
  <c r="L14" i="28"/>
  <c r="K14" i="28"/>
  <c r="C15" i="28" l="1"/>
  <c r="D35" i="79"/>
  <c r="D34" i="79"/>
  <c r="O34" i="79" s="1"/>
  <c r="O35" i="79" l="1"/>
  <c r="AC35" i="79" s="1"/>
  <c r="AN35" i="79" s="1"/>
  <c r="C236" i="52" s="1"/>
  <c r="D36" i="79"/>
  <c r="AC34" i="79"/>
  <c r="AN34" i="79" s="1"/>
  <c r="C235" i="52" s="1"/>
  <c r="D37" i="79"/>
  <c r="D236" i="52" l="1"/>
  <c r="E236" i="52"/>
  <c r="O37" i="79"/>
  <c r="AC37" i="79" s="1"/>
  <c r="AN37" i="79" s="1"/>
  <c r="C238" i="52" s="1"/>
  <c r="E238" i="52" s="1"/>
  <c r="O36" i="79"/>
  <c r="AC36" i="79" s="1"/>
  <c r="AN36" i="79" s="1"/>
  <c r="D235" i="52"/>
  <c r="E235" i="52"/>
  <c r="C251" i="52" l="1"/>
  <c r="D32" i="1" s="1"/>
  <c r="E237" i="52"/>
  <c r="E251" i="52" s="1"/>
  <c r="D237" i="52"/>
  <c r="D251" i="52" s="1"/>
  <c r="D238" i="52"/>
  <c r="C37" i="81"/>
  <c r="C13" i="81" s="1"/>
  <c r="C14" i="81" s="1"/>
  <c r="D32" i="29" l="1"/>
  <c r="E32" i="1"/>
  <c r="E32" i="29"/>
  <c r="D37" i="81"/>
  <c r="D13" i="81" s="1"/>
  <c r="C38" i="81"/>
  <c r="D32" i="67"/>
  <c r="N31" i="67"/>
  <c r="C15" i="81"/>
  <c r="C32" i="83" l="1"/>
  <c r="D32" i="83" s="1"/>
  <c r="E32" i="83" s="1"/>
  <c r="F32" i="83" s="1"/>
  <c r="C32" i="80"/>
  <c r="D32" i="80" s="1"/>
  <c r="E32" i="80" s="1"/>
  <c r="F32" i="80" s="1"/>
  <c r="C168" i="52" s="1"/>
  <c r="D168" i="52" s="1"/>
  <c r="D14" i="81"/>
  <c r="C8" i="83"/>
  <c r="C8" i="80"/>
  <c r="D38" i="81"/>
  <c r="D39" i="81" s="1"/>
  <c r="D40" i="81" s="1"/>
  <c r="D41" i="81" s="1"/>
  <c r="D42" i="81" s="1"/>
  <c r="D43" i="81" s="1"/>
  <c r="D44" i="81" s="1"/>
  <c r="D45" i="81" s="1"/>
  <c r="D46" i="81" s="1"/>
  <c r="D47" i="81" s="1"/>
  <c r="D48" i="81" s="1"/>
  <c r="D49" i="81" s="1"/>
  <c r="D50" i="81" s="1"/>
  <c r="D51" i="81" s="1"/>
  <c r="D52" i="81" s="1"/>
  <c r="D53" i="81" s="1"/>
  <c r="D54" i="81" s="1"/>
  <c r="D55" i="81" s="1"/>
  <c r="D56" i="81" s="1"/>
  <c r="D57" i="81" s="1"/>
  <c r="D58" i="81" s="1"/>
  <c r="N9" i="67"/>
  <c r="C16" i="81"/>
  <c r="D33" i="67"/>
  <c r="N32" i="67"/>
  <c r="C39" i="81"/>
  <c r="I32" i="83" l="1"/>
  <c r="E204" i="52" s="1"/>
  <c r="K32" i="83"/>
  <c r="M32" i="83"/>
  <c r="N32" i="83"/>
  <c r="J32" i="83"/>
  <c r="L32" i="83"/>
  <c r="G32" i="83"/>
  <c r="C204" i="52" s="1"/>
  <c r="H32" i="83"/>
  <c r="D204" i="52" s="1"/>
  <c r="E168" i="52"/>
  <c r="C33" i="80"/>
  <c r="D33" i="80" s="1"/>
  <c r="E33" i="80" s="1"/>
  <c r="F33" i="80" s="1"/>
  <c r="C169" i="52" s="1"/>
  <c r="C33" i="83"/>
  <c r="D33" i="83" s="1"/>
  <c r="E33" i="83" s="1"/>
  <c r="F33" i="83" s="1"/>
  <c r="D15" i="81"/>
  <c r="C9" i="80"/>
  <c r="C9" i="83"/>
  <c r="N10" i="67"/>
  <c r="F32" i="75"/>
  <c r="C17" i="81"/>
  <c r="C34" i="83"/>
  <c r="D34" i="83" s="1"/>
  <c r="E34" i="83" s="1"/>
  <c r="F34" i="83" s="1"/>
  <c r="C34" i="80"/>
  <c r="D34" i="80" s="1"/>
  <c r="E34" i="80" s="1"/>
  <c r="F34" i="80" s="1"/>
  <c r="C170" i="52" s="1"/>
  <c r="C40" i="81"/>
  <c r="N33" i="67"/>
  <c r="D34" i="67"/>
  <c r="F204" i="52" l="1"/>
  <c r="D170" i="52"/>
  <c r="E170" i="52"/>
  <c r="D169" i="52"/>
  <c r="E169" i="52"/>
  <c r="I33" i="83"/>
  <c r="E205" i="52" s="1"/>
  <c r="N33" i="83"/>
  <c r="J33" i="83"/>
  <c r="L33" i="83"/>
  <c r="M33" i="83"/>
  <c r="K33" i="83"/>
  <c r="M34" i="83"/>
  <c r="K34" i="83"/>
  <c r="L34" i="83"/>
  <c r="J34" i="83"/>
  <c r="N34" i="83"/>
  <c r="AB24" i="52"/>
  <c r="H33" i="83"/>
  <c r="D205" i="52" s="1"/>
  <c r="G33" i="83"/>
  <c r="C205" i="52" s="1"/>
  <c r="D16" i="81"/>
  <c r="C10" i="83"/>
  <c r="C10" i="80"/>
  <c r="C35" i="80"/>
  <c r="D35" i="80" s="1"/>
  <c r="E35" i="80" s="1"/>
  <c r="F35" i="80" s="1"/>
  <c r="C171" i="52" s="1"/>
  <c r="C35" i="83"/>
  <c r="D35" i="83" s="1"/>
  <c r="E35" i="83" s="1"/>
  <c r="F35" i="83" s="1"/>
  <c r="C41" i="81"/>
  <c r="C18" i="81"/>
  <c r="N34" i="67"/>
  <c r="D35" i="67"/>
  <c r="F33" i="75"/>
  <c r="N11" i="67"/>
  <c r="I34" i="83"/>
  <c r="E206" i="52" s="1"/>
  <c r="H34" i="83"/>
  <c r="D206" i="52" s="1"/>
  <c r="G34" i="83"/>
  <c r="C206" i="52" s="1"/>
  <c r="F205" i="52" l="1"/>
  <c r="F206" i="52"/>
  <c r="D171" i="52"/>
  <c r="E171" i="52"/>
  <c r="L35" i="83"/>
  <c r="N35" i="83"/>
  <c r="J35" i="83"/>
  <c r="D99" i="52" s="1"/>
  <c r="K35" i="83"/>
  <c r="M35" i="83"/>
  <c r="D17" i="81"/>
  <c r="C11" i="80"/>
  <c r="C11" i="83"/>
  <c r="F34" i="75"/>
  <c r="C19" i="81"/>
  <c r="D36" i="67"/>
  <c r="N35" i="67"/>
  <c r="G35" i="83"/>
  <c r="C207" i="52" s="1"/>
  <c r="H35" i="83"/>
  <c r="D207" i="52" s="1"/>
  <c r="I35" i="83"/>
  <c r="E207" i="52" s="1"/>
  <c r="N12" i="67"/>
  <c r="C36" i="80"/>
  <c r="D36" i="80" s="1"/>
  <c r="E36" i="80" s="1"/>
  <c r="F36" i="80" s="1"/>
  <c r="C172" i="52" s="1"/>
  <c r="C36" i="83"/>
  <c r="D36" i="83" s="1"/>
  <c r="E36" i="83" s="1"/>
  <c r="F36" i="83" s="1"/>
  <c r="C42" i="81"/>
  <c r="F207" i="52" l="1"/>
  <c r="H207" i="52" s="1"/>
  <c r="D172" i="52"/>
  <c r="E172" i="52"/>
  <c r="K36" i="83"/>
  <c r="M36" i="83"/>
  <c r="J36" i="83"/>
  <c r="N36" i="83"/>
  <c r="L36" i="83"/>
  <c r="D18" i="81"/>
  <c r="C12" i="83"/>
  <c r="C12" i="80"/>
  <c r="F35" i="75"/>
  <c r="C20" i="81"/>
  <c r="I36" i="83"/>
  <c r="E208" i="52" s="1"/>
  <c r="G36" i="83"/>
  <c r="C208" i="52" s="1"/>
  <c r="H36" i="83"/>
  <c r="D208" i="52" s="1"/>
  <c r="D30" i="76"/>
  <c r="N13" i="67"/>
  <c r="N36" i="67"/>
  <c r="D37" i="67"/>
  <c r="C37" i="83"/>
  <c r="D37" i="83" s="1"/>
  <c r="E37" i="83" s="1"/>
  <c r="F37" i="83" s="1"/>
  <c r="C43" i="81"/>
  <c r="C37" i="80"/>
  <c r="D37" i="80" s="1"/>
  <c r="E37" i="80" s="1"/>
  <c r="F37" i="80" s="1"/>
  <c r="C173" i="52" s="1"/>
  <c r="G207" i="52" l="1"/>
  <c r="I207" i="52"/>
  <c r="F208" i="52"/>
  <c r="H208" i="52" s="1"/>
  <c r="D173" i="52"/>
  <c r="E173" i="52"/>
  <c r="N37" i="83"/>
  <c r="J37" i="83"/>
  <c r="L37" i="83"/>
  <c r="M37" i="83"/>
  <c r="K37" i="83"/>
  <c r="D100" i="52"/>
  <c r="C99" i="52"/>
  <c r="E99" i="52" s="1"/>
  <c r="D19" i="81"/>
  <c r="C13" i="83"/>
  <c r="C13" i="80"/>
  <c r="G30" i="76"/>
  <c r="E135" i="52" s="1"/>
  <c r="C38" i="83"/>
  <c r="D38" i="83" s="1"/>
  <c r="E38" i="83" s="1"/>
  <c r="F38" i="83" s="1"/>
  <c r="C38" i="80"/>
  <c r="D38" i="80" s="1"/>
  <c r="E38" i="80" s="1"/>
  <c r="F38" i="80" s="1"/>
  <c r="C174" i="52" s="1"/>
  <c r="C44" i="81"/>
  <c r="F36" i="75"/>
  <c r="H37" i="83"/>
  <c r="D209" i="52" s="1"/>
  <c r="I37" i="83"/>
  <c r="E209" i="52" s="1"/>
  <c r="G37" i="83"/>
  <c r="C209" i="52" s="1"/>
  <c r="N37" i="67"/>
  <c r="D38" i="67"/>
  <c r="E30" i="76"/>
  <c r="C135" i="52" s="1"/>
  <c r="N14" i="67"/>
  <c r="F30" i="76"/>
  <c r="D135" i="52" s="1"/>
  <c r="C21" i="81"/>
  <c r="I208" i="52" l="1"/>
  <c r="F209" i="52"/>
  <c r="H209" i="52" s="1"/>
  <c r="D174" i="52"/>
  <c r="E174" i="52"/>
  <c r="G208" i="52"/>
  <c r="M38" i="83"/>
  <c r="K38" i="83"/>
  <c r="L38" i="83"/>
  <c r="N38" i="83"/>
  <c r="J38" i="83"/>
  <c r="D101" i="52"/>
  <c r="F135" i="52"/>
  <c r="D20" i="81"/>
  <c r="C14" i="80"/>
  <c r="D14" i="80" s="1"/>
  <c r="E14" i="80" s="1"/>
  <c r="F14" i="80" s="1"/>
  <c r="C150" i="52" s="1"/>
  <c r="C14" i="83"/>
  <c r="D14" i="83" s="1"/>
  <c r="E14" i="83" s="1"/>
  <c r="H30" i="76"/>
  <c r="G31" i="76"/>
  <c r="E136" i="52" s="1"/>
  <c r="F31" i="76"/>
  <c r="D136" i="52" s="1"/>
  <c r="N15" i="67"/>
  <c r="C39" i="83"/>
  <c r="D39" i="83" s="1"/>
  <c r="E39" i="83" s="1"/>
  <c r="F39" i="83" s="1"/>
  <c r="C39" i="80"/>
  <c r="D39" i="80" s="1"/>
  <c r="E39" i="80" s="1"/>
  <c r="F39" i="80" s="1"/>
  <c r="C175" i="52" s="1"/>
  <c r="C45" i="81"/>
  <c r="E31" i="76"/>
  <c r="C136" i="52" s="1"/>
  <c r="C22" i="81"/>
  <c r="D39" i="67"/>
  <c r="N38" i="67"/>
  <c r="F14" i="75"/>
  <c r="G38" i="83"/>
  <c r="C210" i="52" s="1"/>
  <c r="I38" i="83"/>
  <c r="E210" i="52" s="1"/>
  <c r="H38" i="83"/>
  <c r="D210" i="52" s="1"/>
  <c r="D31" i="76"/>
  <c r="F37" i="75"/>
  <c r="J14" i="83" l="1"/>
  <c r="F14" i="83"/>
  <c r="I209" i="52"/>
  <c r="F210" i="52"/>
  <c r="G135" i="52"/>
  <c r="H135" i="52"/>
  <c r="D175" i="52"/>
  <c r="E175" i="52"/>
  <c r="G209" i="52"/>
  <c r="L39" i="83"/>
  <c r="N39" i="83"/>
  <c r="J39" i="83"/>
  <c r="K39" i="83"/>
  <c r="M39" i="83"/>
  <c r="M14" i="83"/>
  <c r="K14" i="83"/>
  <c r="L14" i="83"/>
  <c r="N14" i="83"/>
  <c r="D102" i="52"/>
  <c r="I210" i="52"/>
  <c r="F9" i="76"/>
  <c r="D114" i="52" s="1"/>
  <c r="C100" i="52"/>
  <c r="E100" i="52" s="1"/>
  <c r="F136" i="52"/>
  <c r="D32" i="76"/>
  <c r="G32" i="76"/>
  <c r="E137" i="52" s="1"/>
  <c r="E9" i="76"/>
  <c r="C114" i="52" s="1"/>
  <c r="D150" i="52"/>
  <c r="E150" i="52"/>
  <c r="D21" i="81"/>
  <c r="C15" i="83"/>
  <c r="D15" i="83" s="1"/>
  <c r="E15" i="83" s="1"/>
  <c r="F15" i="83" s="1"/>
  <c r="C15" i="80"/>
  <c r="D15" i="80" s="1"/>
  <c r="E15" i="80" s="1"/>
  <c r="F15" i="80" s="1"/>
  <c r="C151" i="52" s="1"/>
  <c r="E32" i="76"/>
  <c r="C137" i="52" s="1"/>
  <c r="H14" i="83"/>
  <c r="D186" i="52" s="1"/>
  <c r="D78" i="52"/>
  <c r="G14" i="83"/>
  <c r="C186" i="52" s="1"/>
  <c r="I14" i="83"/>
  <c r="E186" i="52" s="1"/>
  <c r="G9" i="76"/>
  <c r="E114" i="52" s="1"/>
  <c r="F38" i="75"/>
  <c r="C23" i="81"/>
  <c r="N16" i="67"/>
  <c r="I39" i="83"/>
  <c r="E211" i="52" s="1"/>
  <c r="H39" i="83"/>
  <c r="D211" i="52" s="1"/>
  <c r="G39" i="83"/>
  <c r="C211" i="52" s="1"/>
  <c r="F32" i="76"/>
  <c r="D137" i="52" s="1"/>
  <c r="H31" i="76"/>
  <c r="D9" i="76"/>
  <c r="D40" i="67"/>
  <c r="N39" i="67"/>
  <c r="F15" i="75"/>
  <c r="C40" i="80"/>
  <c r="D40" i="80" s="1"/>
  <c r="E40" i="80" s="1"/>
  <c r="F40" i="80" s="1"/>
  <c r="C176" i="52" s="1"/>
  <c r="C46" i="81"/>
  <c r="C40" i="83"/>
  <c r="D40" i="83" s="1"/>
  <c r="E40" i="83" s="1"/>
  <c r="F40" i="83" s="1"/>
  <c r="F186" i="52" l="1"/>
  <c r="G186" i="52" s="1"/>
  <c r="H136" i="52"/>
  <c r="G136" i="52"/>
  <c r="F211" i="52"/>
  <c r="H211" i="52" s="1"/>
  <c r="H210" i="52"/>
  <c r="D176" i="52"/>
  <c r="E176" i="52"/>
  <c r="L15" i="83"/>
  <c r="N15" i="83"/>
  <c r="J15" i="83"/>
  <c r="D79" i="52" s="1"/>
  <c r="K15" i="83"/>
  <c r="M15" i="83"/>
  <c r="K40" i="83"/>
  <c r="M40" i="83"/>
  <c r="N40" i="83"/>
  <c r="L40" i="83"/>
  <c r="J40" i="83"/>
  <c r="G210" i="52"/>
  <c r="D103" i="52"/>
  <c r="F137" i="52"/>
  <c r="C101" i="52"/>
  <c r="E101" i="52" s="1"/>
  <c r="H32" i="76"/>
  <c r="E33" i="76"/>
  <c r="C138" i="52" s="1"/>
  <c r="G10" i="76"/>
  <c r="E115" i="52" s="1"/>
  <c r="I186" i="52"/>
  <c r="D151" i="52"/>
  <c r="E151" i="52"/>
  <c r="I15" i="83"/>
  <c r="E187" i="52" s="1"/>
  <c r="H15" i="83"/>
  <c r="D187" i="52" s="1"/>
  <c r="G15" i="83"/>
  <c r="C187" i="52" s="1"/>
  <c r="D22" i="81"/>
  <c r="C16" i="83"/>
  <c r="D16" i="83" s="1"/>
  <c r="E16" i="83" s="1"/>
  <c r="F16" i="83" s="1"/>
  <c r="C16" i="80"/>
  <c r="D16" i="80" s="1"/>
  <c r="E16" i="80" s="1"/>
  <c r="F16" i="80" s="1"/>
  <c r="C152" i="52" s="1"/>
  <c r="F16" i="75"/>
  <c r="N17" i="67"/>
  <c r="C41" i="80"/>
  <c r="D41" i="80" s="1"/>
  <c r="E41" i="80" s="1"/>
  <c r="F41" i="80" s="1"/>
  <c r="C177" i="52" s="1"/>
  <c r="C41" i="83"/>
  <c r="D41" i="83" s="1"/>
  <c r="E41" i="83" s="1"/>
  <c r="F41" i="83" s="1"/>
  <c r="C47" i="81"/>
  <c r="N40" i="67"/>
  <c r="D41" i="67"/>
  <c r="F10" i="76"/>
  <c r="D115" i="52" s="1"/>
  <c r="F39" i="75"/>
  <c r="G33" i="76"/>
  <c r="E138" i="52" s="1"/>
  <c r="C78" i="52"/>
  <c r="H9" i="76"/>
  <c r="D10" i="76"/>
  <c r="E10" i="76"/>
  <c r="C115" i="52" s="1"/>
  <c r="F33" i="76"/>
  <c r="D138" i="52" s="1"/>
  <c r="G40" i="83"/>
  <c r="C212" i="52" s="1"/>
  <c r="I40" i="83"/>
  <c r="E212" i="52" s="1"/>
  <c r="H40" i="83"/>
  <c r="D212" i="52" s="1"/>
  <c r="C24" i="81"/>
  <c r="D33" i="76"/>
  <c r="H186" i="52" l="1"/>
  <c r="F212" i="52"/>
  <c r="F187" i="52"/>
  <c r="G187" i="52" s="1"/>
  <c r="G137" i="52"/>
  <c r="H137" i="52"/>
  <c r="H212" i="52"/>
  <c r="I211" i="52"/>
  <c r="D177" i="52"/>
  <c r="E177" i="52"/>
  <c r="K16" i="83"/>
  <c r="M16" i="83"/>
  <c r="N16" i="83"/>
  <c r="J16" i="83"/>
  <c r="D80" i="52" s="1"/>
  <c r="L16" i="83"/>
  <c r="N41" i="83"/>
  <c r="J41" i="83"/>
  <c r="L41" i="83"/>
  <c r="M41" i="83"/>
  <c r="K41" i="83"/>
  <c r="G211" i="52"/>
  <c r="D104" i="52"/>
  <c r="I212" i="52"/>
  <c r="E34" i="76"/>
  <c r="C139" i="52" s="1"/>
  <c r="G34" i="76"/>
  <c r="E139" i="52" s="1"/>
  <c r="F138" i="52"/>
  <c r="C102" i="52"/>
  <c r="E102" i="52" s="1"/>
  <c r="E152" i="52"/>
  <c r="D152" i="52"/>
  <c r="D34" i="76"/>
  <c r="F11" i="76"/>
  <c r="D116" i="52" s="1"/>
  <c r="G16" i="83"/>
  <c r="C188" i="52" s="1"/>
  <c r="H16" i="83"/>
  <c r="D188" i="52" s="1"/>
  <c r="I16" i="83"/>
  <c r="E188" i="52" s="1"/>
  <c r="E11" i="76"/>
  <c r="C116" i="52" s="1"/>
  <c r="D23" i="81"/>
  <c r="C17" i="80"/>
  <c r="D17" i="80" s="1"/>
  <c r="E17" i="80" s="1"/>
  <c r="F17" i="80" s="1"/>
  <c r="C153" i="52" s="1"/>
  <c r="C17" i="83"/>
  <c r="D17" i="83" s="1"/>
  <c r="E17" i="83" s="1"/>
  <c r="F17" i="83" s="1"/>
  <c r="F17" i="75"/>
  <c r="F115" i="52"/>
  <c r="H10" i="76"/>
  <c r="C79" i="52"/>
  <c r="E79" i="52" s="1"/>
  <c r="H33" i="76"/>
  <c r="E78" i="52"/>
  <c r="C42" i="83"/>
  <c r="D42" i="83" s="1"/>
  <c r="E42" i="83" s="1"/>
  <c r="F42" i="83" s="1"/>
  <c r="C42" i="80"/>
  <c r="D42" i="80" s="1"/>
  <c r="E42" i="80" s="1"/>
  <c r="F42" i="80" s="1"/>
  <c r="C178" i="52" s="1"/>
  <c r="C48" i="81"/>
  <c r="F34" i="76"/>
  <c r="D139" i="52" s="1"/>
  <c r="F40" i="75"/>
  <c r="C25" i="81"/>
  <c r="G41" i="83"/>
  <c r="C213" i="52" s="1"/>
  <c r="I41" i="83"/>
  <c r="E213" i="52" s="1"/>
  <c r="H41" i="83"/>
  <c r="D213" i="52" s="1"/>
  <c r="G11" i="76"/>
  <c r="E116" i="52" s="1"/>
  <c r="N18" i="67"/>
  <c r="N41" i="67"/>
  <c r="D42" i="67"/>
  <c r="F114" i="52"/>
  <c r="D11" i="76"/>
  <c r="H187" i="52" l="1"/>
  <c r="I187" i="52"/>
  <c r="F188" i="52"/>
  <c r="I188" i="52" s="1"/>
  <c r="G138" i="52"/>
  <c r="H138" i="52"/>
  <c r="F213" i="52"/>
  <c r="I213" i="52" s="1"/>
  <c r="D178" i="52"/>
  <c r="E178" i="52"/>
  <c r="M42" i="83"/>
  <c r="K42" i="83"/>
  <c r="L42" i="83"/>
  <c r="J42" i="83"/>
  <c r="N42" i="83"/>
  <c r="N17" i="83"/>
  <c r="J17" i="83"/>
  <c r="D81" i="52" s="1"/>
  <c r="L17" i="83"/>
  <c r="M17" i="83"/>
  <c r="K17" i="83"/>
  <c r="G212" i="52"/>
  <c r="D105" i="52"/>
  <c r="D35" i="76"/>
  <c r="C104" i="52" s="1"/>
  <c r="E104" i="52" s="1"/>
  <c r="C103" i="52"/>
  <c r="E103" i="52" s="1"/>
  <c r="F139" i="52"/>
  <c r="H34" i="76"/>
  <c r="E153" i="52"/>
  <c r="D153" i="52"/>
  <c r="D24" i="81"/>
  <c r="C18" i="80"/>
  <c r="D18" i="80" s="1"/>
  <c r="E18" i="80" s="1"/>
  <c r="F18" i="80" s="1"/>
  <c r="C154" i="52" s="1"/>
  <c r="C18" i="83"/>
  <c r="D18" i="83" s="1"/>
  <c r="E18" i="83" s="1"/>
  <c r="F18" i="83" s="1"/>
  <c r="F35" i="76"/>
  <c r="D140" i="52" s="1"/>
  <c r="F12" i="76"/>
  <c r="D117" i="52" s="1"/>
  <c r="G35" i="76"/>
  <c r="E140" i="52" s="1"/>
  <c r="H17" i="83"/>
  <c r="D189" i="52" s="1"/>
  <c r="I17" i="83"/>
  <c r="E189" i="52" s="1"/>
  <c r="G17" i="83"/>
  <c r="C189" i="52" s="1"/>
  <c r="H114" i="52"/>
  <c r="G114" i="52"/>
  <c r="E12" i="76"/>
  <c r="C117" i="52" s="1"/>
  <c r="H11" i="76"/>
  <c r="C80" i="52"/>
  <c r="F41" i="75"/>
  <c r="C26" i="81"/>
  <c r="F18" i="75"/>
  <c r="G12" i="76"/>
  <c r="E117" i="52" s="1"/>
  <c r="E35" i="76"/>
  <c r="C140" i="52" s="1"/>
  <c r="N19" i="67"/>
  <c r="C43" i="80"/>
  <c r="D43" i="80" s="1"/>
  <c r="E43" i="80" s="1"/>
  <c r="F43" i="80" s="1"/>
  <c r="C43" i="83"/>
  <c r="D43" i="83" s="1"/>
  <c r="E43" i="83" s="1"/>
  <c r="F43" i="83" s="1"/>
  <c r="C49" i="81"/>
  <c r="D12" i="76"/>
  <c r="G115" i="52"/>
  <c r="H115" i="52"/>
  <c r="N42" i="67"/>
  <c r="D43" i="67"/>
  <c r="G42" i="83"/>
  <c r="C214" i="52" s="1"/>
  <c r="H42" i="83"/>
  <c r="D214" i="52" s="1"/>
  <c r="I42" i="83"/>
  <c r="E214" i="52" s="1"/>
  <c r="AB9" i="52"/>
  <c r="F189" i="52" l="1"/>
  <c r="G189" i="52" s="1"/>
  <c r="H213" i="52"/>
  <c r="F214" i="52"/>
  <c r="G188" i="52"/>
  <c r="H188" i="52"/>
  <c r="G139" i="52"/>
  <c r="H139" i="52"/>
  <c r="H214" i="52"/>
  <c r="G213" i="52"/>
  <c r="L43" i="83"/>
  <c r="N43" i="83"/>
  <c r="J43" i="83"/>
  <c r="M43" i="83"/>
  <c r="K43" i="83"/>
  <c r="M18" i="83"/>
  <c r="K18" i="83"/>
  <c r="L18" i="83"/>
  <c r="J18" i="83"/>
  <c r="D82" i="52" s="1"/>
  <c r="N18" i="83"/>
  <c r="I214" i="52"/>
  <c r="D106" i="52"/>
  <c r="F140" i="52"/>
  <c r="E80" i="52"/>
  <c r="H35" i="76"/>
  <c r="E13" i="76"/>
  <c r="C118" i="52" s="1"/>
  <c r="D141" i="52"/>
  <c r="E154" i="52"/>
  <c r="D154" i="52"/>
  <c r="D36" i="76"/>
  <c r="D25" i="81"/>
  <c r="C19" i="83"/>
  <c r="D19" i="83" s="1"/>
  <c r="E19" i="83" s="1"/>
  <c r="F19" i="83" s="1"/>
  <c r="C19" i="80"/>
  <c r="D19" i="80" s="1"/>
  <c r="E19" i="80" s="1"/>
  <c r="F19" i="80" s="1"/>
  <c r="C155" i="52" s="1"/>
  <c r="D13" i="76"/>
  <c r="I189" i="52"/>
  <c r="G18" i="83"/>
  <c r="C190" i="52" s="1"/>
  <c r="H18" i="83"/>
  <c r="D190" i="52" s="1"/>
  <c r="I18" i="83"/>
  <c r="E190" i="52" s="1"/>
  <c r="C44" i="83"/>
  <c r="D44" i="83" s="1"/>
  <c r="E44" i="83" s="1"/>
  <c r="F44" i="83" s="1"/>
  <c r="C44" i="80"/>
  <c r="D44" i="80" s="1"/>
  <c r="E44" i="80" s="1"/>
  <c r="F44" i="80" s="1"/>
  <c r="C50" i="81"/>
  <c r="D44" i="67"/>
  <c r="N43" i="67"/>
  <c r="H12" i="76"/>
  <c r="C81" i="52"/>
  <c r="E81" i="52" s="1"/>
  <c r="F117" i="52"/>
  <c r="H43" i="83"/>
  <c r="G43" i="83"/>
  <c r="I43" i="83"/>
  <c r="N20" i="67"/>
  <c r="F116" i="52"/>
  <c r="G13" i="76"/>
  <c r="E118" i="52" s="1"/>
  <c r="F19" i="75"/>
  <c r="F13" i="76"/>
  <c r="D118" i="52" s="1"/>
  <c r="E36" i="76"/>
  <c r="C141" i="52" s="1"/>
  <c r="C27" i="81"/>
  <c r="F42" i="75"/>
  <c r="G36" i="76"/>
  <c r="E141" i="52" s="1"/>
  <c r="H189" i="52" l="1"/>
  <c r="F190" i="52"/>
  <c r="I190" i="52" s="1"/>
  <c r="H140" i="52"/>
  <c r="G140" i="52"/>
  <c r="G214" i="52"/>
  <c r="L19" i="83"/>
  <c r="N19" i="83"/>
  <c r="J19" i="83"/>
  <c r="D83" i="52" s="1"/>
  <c r="K19" i="83"/>
  <c r="M19" i="83"/>
  <c r="K44" i="83"/>
  <c r="M44" i="83"/>
  <c r="J44" i="83"/>
  <c r="N44" i="83"/>
  <c r="L44" i="83"/>
  <c r="G37" i="76"/>
  <c r="E142" i="52" s="1"/>
  <c r="C82" i="52"/>
  <c r="E82" i="52" s="1"/>
  <c r="C105" i="52"/>
  <c r="E105" i="52" s="1"/>
  <c r="F141" i="52"/>
  <c r="F37" i="76"/>
  <c r="D142" i="52" s="1"/>
  <c r="F14" i="76"/>
  <c r="D119" i="52" s="1"/>
  <c r="E14" i="76"/>
  <c r="C119" i="52" s="1"/>
  <c r="D14" i="76"/>
  <c r="H36" i="76"/>
  <c r="D26" i="81"/>
  <c r="C20" i="80"/>
  <c r="D20" i="80" s="1"/>
  <c r="E20" i="80" s="1"/>
  <c r="F20" i="80" s="1"/>
  <c r="C156" i="52" s="1"/>
  <c r="C20" i="83"/>
  <c r="D20" i="83" s="1"/>
  <c r="E20" i="83" s="1"/>
  <c r="F20" i="83" s="1"/>
  <c r="D155" i="52"/>
  <c r="E155" i="52"/>
  <c r="H13" i="76"/>
  <c r="I19" i="83"/>
  <c r="E191" i="52" s="1"/>
  <c r="H19" i="83"/>
  <c r="D191" i="52" s="1"/>
  <c r="G19" i="83"/>
  <c r="C191" i="52" s="1"/>
  <c r="C28" i="81"/>
  <c r="AB10" i="52"/>
  <c r="H117" i="52"/>
  <c r="G117" i="52"/>
  <c r="AC9" i="52" s="1"/>
  <c r="N44" i="67"/>
  <c r="D45" i="67"/>
  <c r="F20" i="75"/>
  <c r="C45" i="80"/>
  <c r="D45" i="80" s="1"/>
  <c r="E45" i="80" s="1"/>
  <c r="F45" i="80" s="1"/>
  <c r="C45" i="83"/>
  <c r="D45" i="83" s="1"/>
  <c r="E45" i="83" s="1"/>
  <c r="F45" i="83" s="1"/>
  <c r="C51" i="81"/>
  <c r="AB11" i="52"/>
  <c r="G116" i="52"/>
  <c r="H116" i="52"/>
  <c r="E37" i="76"/>
  <c r="C142" i="52" s="1"/>
  <c r="F43" i="75"/>
  <c r="N21" i="67"/>
  <c r="H44" i="83"/>
  <c r="G44" i="83"/>
  <c r="I44" i="83"/>
  <c r="D37" i="76"/>
  <c r="G14" i="76"/>
  <c r="E119" i="52" s="1"/>
  <c r="F118" i="52"/>
  <c r="G190" i="52" l="1"/>
  <c r="H190" i="52"/>
  <c r="F191" i="52"/>
  <c r="G191" i="52" s="1"/>
  <c r="G141" i="52"/>
  <c r="H141" i="52"/>
  <c r="K20" i="83"/>
  <c r="M20" i="83"/>
  <c r="J20" i="83"/>
  <c r="D84" i="52" s="1"/>
  <c r="N20" i="83"/>
  <c r="L20" i="83"/>
  <c r="N45" i="83"/>
  <c r="J45" i="83"/>
  <c r="L45" i="83"/>
  <c r="M45" i="83"/>
  <c r="K45" i="83"/>
  <c r="F15" i="76"/>
  <c r="D120" i="52" s="1"/>
  <c r="F142" i="52"/>
  <c r="C106" i="52"/>
  <c r="E106" i="52" s="1"/>
  <c r="E15" i="76"/>
  <c r="C120" i="52" s="1"/>
  <c r="C83" i="52"/>
  <c r="D27" i="81"/>
  <c r="C21" i="80"/>
  <c r="D21" i="80" s="1"/>
  <c r="E21" i="80" s="1"/>
  <c r="F21" i="80" s="1"/>
  <c r="C157" i="52" s="1"/>
  <c r="C21" i="83"/>
  <c r="D21" i="83" s="1"/>
  <c r="E21" i="83" s="1"/>
  <c r="F21" i="83" s="1"/>
  <c r="G38" i="76"/>
  <c r="G20" i="83"/>
  <c r="C192" i="52" s="1"/>
  <c r="H20" i="83"/>
  <c r="D192" i="52" s="1"/>
  <c r="I20" i="83"/>
  <c r="E192" i="52" s="1"/>
  <c r="D15" i="76"/>
  <c r="E38" i="76"/>
  <c r="D156" i="52"/>
  <c r="E156" i="52"/>
  <c r="C46" i="80"/>
  <c r="D46" i="80" s="1"/>
  <c r="E46" i="80" s="1"/>
  <c r="F46" i="80" s="1"/>
  <c r="C46" i="83"/>
  <c r="D46" i="83" s="1"/>
  <c r="E46" i="83" s="1"/>
  <c r="F46" i="83" s="1"/>
  <c r="C52" i="81"/>
  <c r="D46" i="67"/>
  <c r="N45" i="67"/>
  <c r="D38" i="76"/>
  <c r="F119" i="52"/>
  <c r="F44" i="75"/>
  <c r="N22" i="67"/>
  <c r="G45" i="83"/>
  <c r="H45" i="83"/>
  <c r="I45" i="83"/>
  <c r="AB12" i="52"/>
  <c r="H14" i="76"/>
  <c r="C29" i="81"/>
  <c r="H37" i="76"/>
  <c r="F21" i="75"/>
  <c r="F38" i="76"/>
  <c r="G118" i="52"/>
  <c r="AC10" i="52" s="1"/>
  <c r="H118" i="52"/>
  <c r="G15" i="76"/>
  <c r="E120" i="52" s="1"/>
  <c r="H191" i="52" l="1"/>
  <c r="I191" i="52"/>
  <c r="G142" i="52"/>
  <c r="H142" i="52"/>
  <c r="F192" i="52"/>
  <c r="I192" i="52" s="1"/>
  <c r="M46" i="83"/>
  <c r="K46" i="83"/>
  <c r="L46" i="83"/>
  <c r="N46" i="83"/>
  <c r="J46" i="83"/>
  <c r="N21" i="83"/>
  <c r="J21" i="83"/>
  <c r="L21" i="83"/>
  <c r="M21" i="83"/>
  <c r="K21" i="83"/>
  <c r="F39" i="76"/>
  <c r="E83" i="52"/>
  <c r="H38" i="76"/>
  <c r="F120" i="52"/>
  <c r="H120" i="52" s="1"/>
  <c r="E39" i="76"/>
  <c r="G39" i="76"/>
  <c r="H21" i="83"/>
  <c r="D193" i="52" s="1"/>
  <c r="I21" i="83"/>
  <c r="E193" i="52" s="1"/>
  <c r="D85" i="52"/>
  <c r="G21" i="83"/>
  <c r="C193" i="52" s="1"/>
  <c r="D16" i="76"/>
  <c r="C84" i="52"/>
  <c r="E84" i="52" s="1"/>
  <c r="E157" i="52"/>
  <c r="D157" i="52"/>
  <c r="D28" i="81"/>
  <c r="C22" i="80"/>
  <c r="D22" i="80" s="1"/>
  <c r="E22" i="80" s="1"/>
  <c r="F22" i="80" s="1"/>
  <c r="C158" i="52" s="1"/>
  <c r="C22" i="83"/>
  <c r="D22" i="83" s="1"/>
  <c r="E22" i="83" s="1"/>
  <c r="F22" i="83" s="1"/>
  <c r="N23" i="67"/>
  <c r="F22" i="75"/>
  <c r="D39" i="76"/>
  <c r="AB13" i="52"/>
  <c r="H15" i="76"/>
  <c r="C47" i="83"/>
  <c r="D47" i="83" s="1"/>
  <c r="E47" i="83" s="1"/>
  <c r="F47" i="83" s="1"/>
  <c r="C47" i="80"/>
  <c r="D47" i="80" s="1"/>
  <c r="E47" i="80" s="1"/>
  <c r="F47" i="80" s="1"/>
  <c r="C53" i="81"/>
  <c r="G16" i="76"/>
  <c r="E121" i="52" s="1"/>
  <c r="F45" i="75"/>
  <c r="C30" i="81"/>
  <c r="E16" i="76"/>
  <c r="C121" i="52" s="1"/>
  <c r="D47" i="67"/>
  <c r="N46" i="67"/>
  <c r="G46" i="83"/>
  <c r="I46" i="83"/>
  <c r="H46" i="83"/>
  <c r="F16" i="76"/>
  <c r="D121" i="52" s="1"/>
  <c r="H119" i="52"/>
  <c r="G119" i="52"/>
  <c r="H192" i="52" l="1"/>
  <c r="G192" i="52"/>
  <c r="F193" i="52"/>
  <c r="I193" i="52" s="1"/>
  <c r="L47" i="83"/>
  <c r="N47" i="83"/>
  <c r="J47" i="83"/>
  <c r="K47" i="83"/>
  <c r="M47" i="83"/>
  <c r="M22" i="83"/>
  <c r="K22" i="83"/>
  <c r="L22" i="83"/>
  <c r="N22" i="83"/>
  <c r="J22" i="83"/>
  <c r="D86" i="52" s="1"/>
  <c r="C85" i="52"/>
  <c r="E85" i="52" s="1"/>
  <c r="G120" i="52"/>
  <c r="AC12" i="52" s="1"/>
  <c r="F40" i="76"/>
  <c r="D17" i="76"/>
  <c r="D158" i="52"/>
  <c r="E158" i="52"/>
  <c r="E40" i="76"/>
  <c r="D29" i="81"/>
  <c r="C23" i="80"/>
  <c r="D23" i="80" s="1"/>
  <c r="E23" i="80" s="1"/>
  <c r="F23" i="80" s="1"/>
  <c r="C159" i="52" s="1"/>
  <c r="C23" i="83"/>
  <c r="D23" i="83" s="1"/>
  <c r="E23" i="83" s="1"/>
  <c r="F23" i="83" s="1"/>
  <c r="H193" i="52"/>
  <c r="G40" i="76"/>
  <c r="H39" i="76"/>
  <c r="I22" i="83"/>
  <c r="E194" i="52" s="1"/>
  <c r="G22" i="83"/>
  <c r="C194" i="52" s="1"/>
  <c r="H22" i="83"/>
  <c r="D194" i="52" s="1"/>
  <c r="C31" i="81"/>
  <c r="F46" i="75"/>
  <c r="H16" i="76"/>
  <c r="N24" i="67"/>
  <c r="F17" i="76"/>
  <c r="D122" i="52" s="1"/>
  <c r="AC11" i="52"/>
  <c r="G47" i="83"/>
  <c r="I47" i="83"/>
  <c r="H47" i="83"/>
  <c r="G17" i="76"/>
  <c r="E122" i="52" s="1"/>
  <c r="E17" i="76"/>
  <c r="C122" i="52" s="1"/>
  <c r="F23" i="75"/>
  <c r="F121" i="52"/>
  <c r="AB14" i="52"/>
  <c r="N47" i="67"/>
  <c r="D48" i="67"/>
  <c r="C54" i="81"/>
  <c r="C48" i="83"/>
  <c r="D48" i="83" s="1"/>
  <c r="E48" i="83" s="1"/>
  <c r="F48" i="83" s="1"/>
  <c r="C48" i="80"/>
  <c r="D48" i="80" s="1"/>
  <c r="E48" i="80" s="1"/>
  <c r="F48" i="80" s="1"/>
  <c r="D40" i="76"/>
  <c r="G193" i="52" l="1"/>
  <c r="F194" i="52"/>
  <c r="I194" i="52" s="1"/>
  <c r="K48" i="83"/>
  <c r="M48" i="83"/>
  <c r="N48" i="83"/>
  <c r="L48" i="83"/>
  <c r="J48" i="83"/>
  <c r="L23" i="83"/>
  <c r="N23" i="83"/>
  <c r="J23" i="83"/>
  <c r="D87" i="52" s="1"/>
  <c r="K23" i="83"/>
  <c r="M23" i="83"/>
  <c r="F41" i="76"/>
  <c r="C86" i="52"/>
  <c r="E86" i="52" s="1"/>
  <c r="H40" i="76"/>
  <c r="D30" i="81"/>
  <c r="C24" i="83"/>
  <c r="D24" i="83" s="1"/>
  <c r="E24" i="83" s="1"/>
  <c r="F24" i="83" s="1"/>
  <c r="C24" i="80"/>
  <c r="D24" i="80" s="1"/>
  <c r="E24" i="80" s="1"/>
  <c r="F24" i="80" s="1"/>
  <c r="C160" i="52" s="1"/>
  <c r="H23" i="83"/>
  <c r="D195" i="52" s="1"/>
  <c r="G23" i="83"/>
  <c r="C195" i="52" s="1"/>
  <c r="I23" i="83"/>
  <c r="E195" i="52" s="1"/>
  <c r="G41" i="76"/>
  <c r="E18" i="76"/>
  <c r="C123" i="52" s="1"/>
  <c r="E159" i="52"/>
  <c r="D159" i="52"/>
  <c r="F24" i="75"/>
  <c r="H121" i="52"/>
  <c r="G121" i="52"/>
  <c r="AC13" i="52" s="1"/>
  <c r="AB15" i="52"/>
  <c r="C49" i="83"/>
  <c r="D49" i="83" s="1"/>
  <c r="E49" i="83" s="1"/>
  <c r="F49" i="83" s="1"/>
  <c r="C49" i="80"/>
  <c r="D49" i="80" s="1"/>
  <c r="E49" i="80" s="1"/>
  <c r="F49" i="80" s="1"/>
  <c r="C55" i="81"/>
  <c r="N48" i="67"/>
  <c r="D49" i="67"/>
  <c r="F47" i="75"/>
  <c r="G18" i="76"/>
  <c r="E123" i="52" s="1"/>
  <c r="E41" i="76"/>
  <c r="H17" i="76"/>
  <c r="N25" i="67"/>
  <c r="F18" i="76"/>
  <c r="D123" i="52" s="1"/>
  <c r="F122" i="52"/>
  <c r="C32" i="81"/>
  <c r="D41" i="76"/>
  <c r="H48" i="83"/>
  <c r="G48" i="83"/>
  <c r="I48" i="83"/>
  <c r="D18" i="76"/>
  <c r="G194" i="52" l="1"/>
  <c r="H194" i="52"/>
  <c r="F195" i="52"/>
  <c r="I195" i="52" s="1"/>
  <c r="K24" i="83"/>
  <c r="M24" i="83"/>
  <c r="N24" i="83"/>
  <c r="L24" i="83"/>
  <c r="J24" i="83"/>
  <c r="D88" i="52" s="1"/>
  <c r="N49" i="83"/>
  <c r="J49" i="83"/>
  <c r="L49" i="83"/>
  <c r="M49" i="83"/>
  <c r="K49" i="83"/>
  <c r="D42" i="76"/>
  <c r="H195" i="52"/>
  <c r="G195" i="52"/>
  <c r="H41" i="76"/>
  <c r="E19" i="76"/>
  <c r="C124" i="52" s="1"/>
  <c r="D160" i="52"/>
  <c r="E160" i="52"/>
  <c r="I24" i="83"/>
  <c r="E196" i="52" s="1"/>
  <c r="G24" i="83"/>
  <c r="C196" i="52" s="1"/>
  <c r="H24" i="83"/>
  <c r="D196" i="52" s="1"/>
  <c r="F42" i="76"/>
  <c r="D31" i="81"/>
  <c r="C25" i="80"/>
  <c r="D25" i="80" s="1"/>
  <c r="E25" i="80" s="1"/>
  <c r="F25" i="80" s="1"/>
  <c r="C161" i="52" s="1"/>
  <c r="C25" i="83"/>
  <c r="D25" i="83" s="1"/>
  <c r="E25" i="83" s="1"/>
  <c r="F25" i="83" s="1"/>
  <c r="F25" i="75"/>
  <c r="H122" i="52"/>
  <c r="G122" i="52"/>
  <c r="AC14" i="52" s="1"/>
  <c r="H18" i="76"/>
  <c r="C87" i="52"/>
  <c r="E87" i="52" s="1"/>
  <c r="F123" i="52"/>
  <c r="N26" i="67"/>
  <c r="F19" i="76"/>
  <c r="D124" i="52" s="1"/>
  <c r="I49" i="83"/>
  <c r="G49" i="83"/>
  <c r="H49" i="83"/>
  <c r="E42" i="76"/>
  <c r="D19" i="76"/>
  <c r="F48" i="75"/>
  <c r="F43" i="76"/>
  <c r="D50" i="67"/>
  <c r="N49" i="67"/>
  <c r="C50" i="80"/>
  <c r="D50" i="80" s="1"/>
  <c r="E50" i="80" s="1"/>
  <c r="F50" i="80" s="1"/>
  <c r="C50" i="83"/>
  <c r="D50" i="83" s="1"/>
  <c r="E50" i="83" s="1"/>
  <c r="F50" i="83" s="1"/>
  <c r="C56" i="81"/>
  <c r="AB16" i="52"/>
  <c r="C33" i="81"/>
  <c r="G42" i="76"/>
  <c r="G19" i="76"/>
  <c r="E124" i="52" s="1"/>
  <c r="F196" i="52" l="1"/>
  <c r="H196" i="52" s="1"/>
  <c r="M50" i="83"/>
  <c r="K50" i="83"/>
  <c r="L50" i="83"/>
  <c r="J50" i="83"/>
  <c r="N50" i="83"/>
  <c r="N25" i="83"/>
  <c r="J25" i="83"/>
  <c r="D89" i="52" s="1"/>
  <c r="L25" i="83"/>
  <c r="M25" i="83"/>
  <c r="K25" i="83"/>
  <c r="G20" i="76"/>
  <c r="E125" i="52" s="1"/>
  <c r="G43" i="76"/>
  <c r="D20" i="76"/>
  <c r="F20" i="76"/>
  <c r="D125" i="52" s="1"/>
  <c r="E20" i="76"/>
  <c r="C125" i="52" s="1"/>
  <c r="H42" i="76"/>
  <c r="G25" i="83"/>
  <c r="C197" i="52" s="1"/>
  <c r="H25" i="83"/>
  <c r="D197" i="52" s="1"/>
  <c r="I25" i="83"/>
  <c r="E197" i="52" s="1"/>
  <c r="E161" i="52"/>
  <c r="D161" i="52"/>
  <c r="D32" i="81"/>
  <c r="C26" i="83"/>
  <c r="D26" i="83" s="1"/>
  <c r="E26" i="83" s="1"/>
  <c r="F26" i="83" s="1"/>
  <c r="C26" i="80"/>
  <c r="D26" i="80" s="1"/>
  <c r="E26" i="80" s="1"/>
  <c r="F26" i="80" s="1"/>
  <c r="C162" i="52" s="1"/>
  <c r="G196" i="52"/>
  <c r="C34" i="81"/>
  <c r="G123" i="52"/>
  <c r="AC15" i="52" s="1"/>
  <c r="H123" i="52"/>
  <c r="E43" i="76"/>
  <c r="F124" i="52"/>
  <c r="H19" i="76"/>
  <c r="C88" i="52"/>
  <c r="E88" i="52" s="1"/>
  <c r="F49" i="75"/>
  <c r="N27" i="67"/>
  <c r="AB17" i="52"/>
  <c r="C57" i="81"/>
  <c r="C51" i="83"/>
  <c r="D51" i="83" s="1"/>
  <c r="E51" i="83" s="1"/>
  <c r="F51" i="83" s="1"/>
  <c r="C51" i="80"/>
  <c r="D51" i="80" s="1"/>
  <c r="E51" i="80" s="1"/>
  <c r="F51" i="80" s="1"/>
  <c r="D51" i="67"/>
  <c r="N50" i="67"/>
  <c r="F26" i="75"/>
  <c r="G50" i="83"/>
  <c r="I50" i="83"/>
  <c r="H50" i="83"/>
  <c r="D43" i="76"/>
  <c r="I196" i="52" l="1"/>
  <c r="F197" i="52"/>
  <c r="H197" i="52" s="1"/>
  <c r="L51" i="83"/>
  <c r="N51" i="83"/>
  <c r="J51" i="83"/>
  <c r="K51" i="83"/>
  <c r="M51" i="83"/>
  <c r="M26" i="83"/>
  <c r="K26" i="83"/>
  <c r="L26" i="83"/>
  <c r="J26" i="83"/>
  <c r="D90" i="52" s="1"/>
  <c r="N26" i="83"/>
  <c r="C89" i="52"/>
  <c r="E89" i="52" s="1"/>
  <c r="H20" i="76"/>
  <c r="F125" i="52"/>
  <c r="H125" i="52" s="1"/>
  <c r="G44" i="76"/>
  <c r="E21" i="76"/>
  <c r="C126" i="52" s="1"/>
  <c r="G26" i="83"/>
  <c r="C198" i="52" s="1"/>
  <c r="H26" i="83"/>
  <c r="D198" i="52" s="1"/>
  <c r="I26" i="83"/>
  <c r="E198" i="52" s="1"/>
  <c r="D33" i="81"/>
  <c r="C27" i="80"/>
  <c r="D27" i="80" s="1"/>
  <c r="E27" i="80" s="1"/>
  <c r="F27" i="80" s="1"/>
  <c r="C163" i="52" s="1"/>
  <c r="C27" i="83"/>
  <c r="D27" i="83" s="1"/>
  <c r="E27" i="83" s="1"/>
  <c r="F27" i="83" s="1"/>
  <c r="H43" i="76"/>
  <c r="E162" i="52"/>
  <c r="D162" i="52"/>
  <c r="F27" i="75"/>
  <c r="D21" i="76"/>
  <c r="E44" i="76"/>
  <c r="G21" i="76"/>
  <c r="E126" i="52" s="1"/>
  <c r="AB18" i="52"/>
  <c r="G51" i="83"/>
  <c r="H51" i="83"/>
  <c r="I51" i="83"/>
  <c r="D44" i="76"/>
  <c r="C52" i="83"/>
  <c r="D52" i="83" s="1"/>
  <c r="E52" i="83" s="1"/>
  <c r="F52" i="83" s="1"/>
  <c r="C52" i="80"/>
  <c r="D52" i="80" s="1"/>
  <c r="E52" i="80" s="1"/>
  <c r="F52" i="80" s="1"/>
  <c r="C58" i="81"/>
  <c r="F50" i="75"/>
  <c r="F21" i="76"/>
  <c r="D126" i="52" s="1"/>
  <c r="N51" i="67"/>
  <c r="D52" i="67"/>
  <c r="N52" i="67" s="1"/>
  <c r="N28" i="67"/>
  <c r="H124" i="52"/>
  <c r="G124" i="52"/>
  <c r="AC16" i="52" s="1"/>
  <c r="F44" i="76"/>
  <c r="C35" i="81"/>
  <c r="G197" i="52" l="1"/>
  <c r="I197" i="52"/>
  <c r="F198" i="52"/>
  <c r="H198" i="52" s="1"/>
  <c r="L27" i="83"/>
  <c r="N27" i="83"/>
  <c r="J27" i="83"/>
  <c r="D91" i="52" s="1"/>
  <c r="M27" i="83"/>
  <c r="K27" i="83"/>
  <c r="K52" i="83"/>
  <c r="M52" i="83"/>
  <c r="J52" i="83"/>
  <c r="N52" i="83"/>
  <c r="L52" i="83"/>
  <c r="G125" i="52"/>
  <c r="AC17" i="52" s="1"/>
  <c r="D22" i="76"/>
  <c r="C91" i="52" s="1"/>
  <c r="D45" i="76"/>
  <c r="E22" i="76"/>
  <c r="C127" i="52" s="1"/>
  <c r="E45" i="76"/>
  <c r="G22" i="76"/>
  <c r="E127" i="52" s="1"/>
  <c r="I27" i="83"/>
  <c r="E199" i="52" s="1"/>
  <c r="G27" i="83"/>
  <c r="C199" i="52" s="1"/>
  <c r="H27" i="83"/>
  <c r="D199" i="52" s="1"/>
  <c r="F45" i="76"/>
  <c r="E163" i="52"/>
  <c r="D163" i="52"/>
  <c r="D34" i="81"/>
  <c r="C28" i="83"/>
  <c r="D28" i="83" s="1"/>
  <c r="E28" i="83" s="1"/>
  <c r="F28" i="83" s="1"/>
  <c r="C28" i="80"/>
  <c r="D28" i="80" s="1"/>
  <c r="E28" i="80" s="1"/>
  <c r="F28" i="80" s="1"/>
  <c r="C164" i="52" s="1"/>
  <c r="F28" i="75"/>
  <c r="F126" i="52"/>
  <c r="C90" i="52"/>
  <c r="E90" i="52" s="1"/>
  <c r="H21" i="76"/>
  <c r="C36" i="81"/>
  <c r="N29" i="67"/>
  <c r="G52" i="83"/>
  <c r="H52" i="83"/>
  <c r="I52" i="83"/>
  <c r="F51" i="75"/>
  <c r="H44" i="76"/>
  <c r="AB19" i="52"/>
  <c r="G45" i="76"/>
  <c r="C53" i="83"/>
  <c r="D53" i="83" s="1"/>
  <c r="E53" i="83" s="1"/>
  <c r="F53" i="83" s="1"/>
  <c r="C53" i="80"/>
  <c r="D53" i="80" s="1"/>
  <c r="E53" i="80" s="1"/>
  <c r="F53" i="80" s="1"/>
  <c r="F22" i="76"/>
  <c r="D127" i="52" s="1"/>
  <c r="I198" i="52" l="1"/>
  <c r="G198" i="52"/>
  <c r="F199" i="52"/>
  <c r="G199" i="52" s="1"/>
  <c r="N53" i="83"/>
  <c r="J53" i="83"/>
  <c r="L53" i="83"/>
  <c r="M53" i="83"/>
  <c r="K53" i="83"/>
  <c r="K28" i="83"/>
  <c r="M28" i="83"/>
  <c r="J28" i="83"/>
  <c r="D92" i="52" s="1"/>
  <c r="N28" i="83"/>
  <c r="L28" i="83"/>
  <c r="F127" i="52"/>
  <c r="F23" i="76"/>
  <c r="D128" i="52" s="1"/>
  <c r="D46" i="76"/>
  <c r="H45" i="76"/>
  <c r="I28" i="83"/>
  <c r="E200" i="52" s="1"/>
  <c r="H28" i="83"/>
  <c r="D200" i="52" s="1"/>
  <c r="G28" i="83"/>
  <c r="C200" i="52" s="1"/>
  <c r="D23" i="76"/>
  <c r="D35" i="81"/>
  <c r="C29" i="80"/>
  <c r="D29" i="80" s="1"/>
  <c r="E29" i="80" s="1"/>
  <c r="F29" i="80" s="1"/>
  <c r="C165" i="52" s="1"/>
  <c r="C29" i="83"/>
  <c r="D29" i="83" s="1"/>
  <c r="E29" i="83" s="1"/>
  <c r="F29" i="83" s="1"/>
  <c r="E46" i="76"/>
  <c r="F46" i="76"/>
  <c r="E91" i="52"/>
  <c r="E164" i="52"/>
  <c r="D164" i="52"/>
  <c r="I53" i="83"/>
  <c r="G53" i="83"/>
  <c r="H53" i="83"/>
  <c r="F53" i="75"/>
  <c r="F29" i="75"/>
  <c r="F27" i="76"/>
  <c r="D132" i="52" s="1"/>
  <c r="AB20" i="52"/>
  <c r="F52" i="75"/>
  <c r="D27" i="76"/>
  <c r="C96" i="52" s="1"/>
  <c r="D96" i="52"/>
  <c r="E23" i="76"/>
  <c r="C128" i="52" s="1"/>
  <c r="G46" i="76"/>
  <c r="G27" i="76"/>
  <c r="E132" i="52" s="1"/>
  <c r="E27" i="76"/>
  <c r="C132" i="52" s="1"/>
  <c r="G23" i="76"/>
  <c r="E128" i="52" s="1"/>
  <c r="N30" i="67"/>
  <c r="H126" i="52"/>
  <c r="G126" i="52"/>
  <c r="AC18" i="52" s="1"/>
  <c r="H22" i="76"/>
  <c r="H199" i="52" l="1"/>
  <c r="I199" i="52"/>
  <c r="F200" i="52"/>
  <c r="I200" i="52" s="1"/>
  <c r="N29" i="83"/>
  <c r="J29" i="83"/>
  <c r="D93" i="52" s="1"/>
  <c r="L29" i="83"/>
  <c r="M29" i="83"/>
  <c r="K29" i="83"/>
  <c r="E96" i="52"/>
  <c r="C92" i="52"/>
  <c r="E92" i="52" s="1"/>
  <c r="D47" i="76"/>
  <c r="H46" i="76"/>
  <c r="H29" i="83"/>
  <c r="D201" i="52" s="1"/>
  <c r="G29" i="83"/>
  <c r="C201" i="52" s="1"/>
  <c r="I29" i="83"/>
  <c r="E201" i="52" s="1"/>
  <c r="F48" i="76"/>
  <c r="F128" i="52"/>
  <c r="G128" i="52" s="1"/>
  <c r="D165" i="52"/>
  <c r="E165" i="52"/>
  <c r="H200" i="52"/>
  <c r="D36" i="81"/>
  <c r="C30" i="83"/>
  <c r="D30" i="83" s="1"/>
  <c r="E30" i="83" s="1"/>
  <c r="F30" i="83" s="1"/>
  <c r="C30" i="80"/>
  <c r="D30" i="80" s="1"/>
  <c r="E30" i="80" s="1"/>
  <c r="F30" i="80" s="1"/>
  <c r="C166" i="52" s="1"/>
  <c r="E47" i="76"/>
  <c r="F28" i="76"/>
  <c r="D133" i="52" s="1"/>
  <c r="H27" i="76"/>
  <c r="F47" i="76"/>
  <c r="G204" i="52"/>
  <c r="I204" i="52"/>
  <c r="H204" i="52"/>
  <c r="F24" i="76"/>
  <c r="D129" i="52" s="1"/>
  <c r="E28" i="76"/>
  <c r="C133" i="52" s="1"/>
  <c r="G127" i="52"/>
  <c r="AC19" i="52" s="1"/>
  <c r="H127" i="52"/>
  <c r="G48" i="76"/>
  <c r="H23" i="76"/>
  <c r="AB21" i="52"/>
  <c r="F30" i="75"/>
  <c r="G28" i="76"/>
  <c r="E133" i="52" s="1"/>
  <c r="E48" i="76"/>
  <c r="D24" i="76"/>
  <c r="D28" i="76"/>
  <c r="D97" i="52"/>
  <c r="E24" i="76"/>
  <c r="C129" i="52" s="1"/>
  <c r="G24" i="76"/>
  <c r="E129" i="52" s="1"/>
  <c r="D48" i="76"/>
  <c r="G47" i="76"/>
  <c r="G200" i="52" l="1"/>
  <c r="F201" i="52"/>
  <c r="I201" i="52" s="1"/>
  <c r="H205" i="52"/>
  <c r="I205" i="52"/>
  <c r="M30" i="83"/>
  <c r="K30" i="83"/>
  <c r="N30" i="83"/>
  <c r="L30" i="83"/>
  <c r="J30" i="83"/>
  <c r="D94" i="52" s="1"/>
  <c r="AC20" i="52"/>
  <c r="G205" i="52"/>
  <c r="C97" i="52"/>
  <c r="E97" i="52" s="1"/>
  <c r="F133" i="52"/>
  <c r="H128" i="52"/>
  <c r="G25" i="76"/>
  <c r="E130" i="52" s="1"/>
  <c r="D166" i="52"/>
  <c r="E166" i="52"/>
  <c r="F25" i="76"/>
  <c r="D130" i="52" s="1"/>
  <c r="H30" i="83"/>
  <c r="D202" i="52" s="1"/>
  <c r="G30" i="83"/>
  <c r="C202" i="52" s="1"/>
  <c r="I30" i="83"/>
  <c r="E202" i="52" s="1"/>
  <c r="H201" i="52"/>
  <c r="H47" i="76"/>
  <c r="C31" i="80"/>
  <c r="D31" i="80" s="1"/>
  <c r="E31" i="80" s="1"/>
  <c r="F31" i="80" s="1"/>
  <c r="C167" i="52" s="1"/>
  <c r="C179" i="52" s="1"/>
  <c r="C31" i="83"/>
  <c r="D31" i="83" s="1"/>
  <c r="E31" i="83" s="1"/>
  <c r="F31" i="83" s="1"/>
  <c r="E25" i="76"/>
  <c r="C130" i="52" s="1"/>
  <c r="H28" i="76"/>
  <c r="D25" i="76"/>
  <c r="G29" i="76"/>
  <c r="E134" i="52" s="1"/>
  <c r="H24" i="76"/>
  <c r="F129" i="52"/>
  <c r="C93" i="52"/>
  <c r="E93" i="52" s="1"/>
  <c r="F31" i="75"/>
  <c r="C71" i="52" s="1"/>
  <c r="F132" i="52"/>
  <c r="D29" i="76"/>
  <c r="D98" i="52"/>
  <c r="E29" i="76"/>
  <c r="C134" i="52" s="1"/>
  <c r="AB22" i="52"/>
  <c r="H48" i="76"/>
  <c r="F29" i="76"/>
  <c r="D134" i="52" s="1"/>
  <c r="G201" i="52" l="1"/>
  <c r="G133" i="52"/>
  <c r="H133" i="52"/>
  <c r="F202" i="52"/>
  <c r="H202" i="52" s="1"/>
  <c r="H206" i="52"/>
  <c r="I206" i="52"/>
  <c r="L31" i="83"/>
  <c r="N31" i="83"/>
  <c r="J31" i="83"/>
  <c r="D95" i="52" s="1"/>
  <c r="D107" i="52" s="1"/>
  <c r="K31" i="83"/>
  <c r="M31" i="83"/>
  <c r="G206" i="52"/>
  <c r="F134" i="52"/>
  <c r="C98" i="52"/>
  <c r="E98" i="52" s="1"/>
  <c r="F26" i="76"/>
  <c r="D131" i="52" s="1"/>
  <c r="D143" i="52" s="1"/>
  <c r="H29" i="76"/>
  <c r="I31" i="83"/>
  <c r="E203" i="52" s="1"/>
  <c r="E215" i="52" s="1"/>
  <c r="G31" i="83"/>
  <c r="C203" i="52" s="1"/>
  <c r="C215" i="52" s="1"/>
  <c r="H31" i="83"/>
  <c r="D203" i="52" s="1"/>
  <c r="D215" i="52" s="1"/>
  <c r="I202" i="52"/>
  <c r="E26" i="76"/>
  <c r="C131" i="52" s="1"/>
  <c r="C143" i="52" s="1"/>
  <c r="D167" i="52"/>
  <c r="D179" i="52" s="1"/>
  <c r="E28" i="1" s="1"/>
  <c r="E167" i="52"/>
  <c r="E179" i="52" s="1"/>
  <c r="E28" i="29" s="1"/>
  <c r="D26" i="76"/>
  <c r="C95" i="52" s="1"/>
  <c r="G26" i="76"/>
  <c r="E131" i="52" s="1"/>
  <c r="E143" i="52" s="1"/>
  <c r="G132" i="52"/>
  <c r="H132" i="52"/>
  <c r="G129" i="52"/>
  <c r="AC21" i="52" s="1"/>
  <c r="H129" i="52"/>
  <c r="H25" i="76"/>
  <c r="C94" i="52"/>
  <c r="G202" i="52" l="1"/>
  <c r="G134" i="52"/>
  <c r="H134" i="52"/>
  <c r="F203" i="52"/>
  <c r="G203" i="52" s="1"/>
  <c r="E95" i="52"/>
  <c r="C107" i="52"/>
  <c r="D28" i="29"/>
  <c r="D28" i="1"/>
  <c r="E27" i="29"/>
  <c r="E94" i="52"/>
  <c r="AC24" i="52"/>
  <c r="AB23" i="52"/>
  <c r="AB35" i="52" s="1"/>
  <c r="F130" i="52"/>
  <c r="F131" i="52"/>
  <c r="H26" i="76"/>
  <c r="D27" i="1"/>
  <c r="D27" i="29"/>
  <c r="E107" i="52" l="1"/>
  <c r="E30" i="29" s="1"/>
  <c r="G215" i="52"/>
  <c r="D29" i="29" s="1"/>
  <c r="F215" i="52"/>
  <c r="H203" i="52"/>
  <c r="I203" i="52"/>
  <c r="I215" i="52" s="1"/>
  <c r="D29" i="1"/>
  <c r="D30" i="1"/>
  <c r="E27" i="1"/>
  <c r="G131" i="52"/>
  <c r="AC23" i="52" s="1"/>
  <c r="H131" i="52"/>
  <c r="G130" i="52"/>
  <c r="H130" i="52"/>
  <c r="F143" i="52"/>
  <c r="E29" i="29" l="1"/>
  <c r="H143" i="52"/>
  <c r="E31" i="29" s="1"/>
  <c r="G143" i="52"/>
  <c r="E31" i="1" s="1"/>
  <c r="H215" i="52"/>
  <c r="D30" i="29"/>
  <c r="D31" i="1"/>
  <c r="D31" i="29"/>
  <c r="E30" i="1"/>
  <c r="AC22" i="52"/>
  <c r="AC35" i="52" s="1"/>
  <c r="E29" i="1" l="1"/>
  <c r="D33" i="1"/>
  <c r="D33" i="29"/>
  <c r="E33" i="1"/>
  <c r="E33" i="29"/>
  <c r="E6" i="29" s="1"/>
  <c r="E6" i="1" l="1"/>
  <c r="E8" i="29"/>
  <c r="E8" i="1"/>
</calcChain>
</file>

<file path=xl/sharedStrings.xml><?xml version="1.0" encoding="utf-8"?>
<sst xmlns="http://schemas.openxmlformats.org/spreadsheetml/2006/main" count="2230" uniqueCount="836">
  <si>
    <t>Description</t>
  </si>
  <si>
    <t>Unit</t>
  </si>
  <si>
    <t>$</t>
  </si>
  <si>
    <t>Source</t>
  </si>
  <si>
    <t>miles per gallon</t>
  </si>
  <si>
    <t>Total</t>
  </si>
  <si>
    <t>Website</t>
  </si>
  <si>
    <t>Year</t>
  </si>
  <si>
    <t>$/person-hr</t>
  </si>
  <si>
    <t>Maintenance Costs and Cost Saving Assumptions</t>
  </si>
  <si>
    <t>Estimated</t>
  </si>
  <si>
    <t>$/person</t>
  </si>
  <si>
    <t>Value of Travel Time Assumptions</t>
  </si>
  <si>
    <t xml:space="preserve"> - Fatality Rate</t>
  </si>
  <si>
    <t>$/veh-mile</t>
  </si>
  <si>
    <t>http://www.fhwa.dot.gov/policy/hcas/addendum.htm</t>
  </si>
  <si>
    <t>Value (Source)</t>
  </si>
  <si>
    <t xml:space="preserve"> - Value of Truck Driver Travel Time</t>
  </si>
  <si>
    <t>Accident Cost and Rate Assumptions</t>
  </si>
  <si>
    <t>Addendum to the 1997 Federal Highway Cost Allocation Study Final Report, U.S. Department of Transportation, Federal Highway Administration, May 2000.</t>
  </si>
  <si>
    <t xml:space="preserve"> - Fatal Accident Cost</t>
  </si>
  <si>
    <t>Analysis Discount Rates</t>
  </si>
  <si>
    <t xml:space="preserve"> - Discount Rate 1</t>
  </si>
  <si>
    <t xml:space="preserve"> - Discount Rate 2</t>
  </si>
  <si>
    <t xml:space="preserve"> - VOC Emissions Damage Cost</t>
  </si>
  <si>
    <t xml:space="preserve"> - NOx Emissions Damage Cost</t>
  </si>
  <si>
    <t xml:space="preserve"> - PM Emissions Damage Cost</t>
  </si>
  <si>
    <t xml:space="preserve"> - SOx Emissions Damage Cost</t>
  </si>
  <si>
    <t>Benefit Estimates</t>
  </si>
  <si>
    <t>Rates - Single</t>
  </si>
  <si>
    <t>Fuel Efficiency and Emissions Cost Assumptions</t>
  </si>
  <si>
    <t>B. Economic Competitiveness</t>
  </si>
  <si>
    <t>Job Increase Assumptions</t>
  </si>
  <si>
    <t>$/veh</t>
  </si>
  <si>
    <t>$/job-year</t>
  </si>
  <si>
    <t xml:space="preserve"> - Dollars to be spent for creating 1 job-year</t>
  </si>
  <si>
    <t>job-years</t>
  </si>
  <si>
    <t>CO</t>
  </si>
  <si>
    <t xml:space="preserve"> - Undiscounted Project Cost (Excl. Maintenance)</t>
  </si>
  <si>
    <t>This is the first of two tabs that describe the final results of the Benefit-Cost Analysis.  This sheet takes all of the benefits/costs into account and discounts the value of yearly benefits at 3 percent.  Key values presented in this sheet include:</t>
  </si>
  <si>
    <t>Benefit-Cost Analysis at 7%</t>
  </si>
  <si>
    <t>Cost Summary</t>
  </si>
  <si>
    <t>Benefits Summary</t>
  </si>
  <si>
    <t>Benefit-Cost Analysis at 3%</t>
  </si>
  <si>
    <t>(1) Analysis Discount Rates</t>
  </si>
  <si>
    <t>(2) Maintenance Costs and Cost Savings Assumptions</t>
  </si>
  <si>
    <t>(3) Value of Travel Time Assumptions</t>
  </si>
  <si>
    <t>(6) Job Increase Assumptions</t>
  </si>
  <si>
    <t>F. Job Creation</t>
  </si>
  <si>
    <t>jobs</t>
  </si>
  <si>
    <t>About the B/C Assessment Spreadsheet Tabs</t>
  </si>
  <si>
    <t xml:space="preserve"> - Fuel Efficiency of Light-Duty Vehicles</t>
  </si>
  <si>
    <t xml:space="preserve"> - Fuel Efficiency of Heavy-Duty Vehicles</t>
  </si>
  <si>
    <t xml:space="preserve"> - Idling Fuel Consumption Rate of Light-Duty Vehicles</t>
  </si>
  <si>
    <t xml:space="preserve"> - Idling Fuel Consumption Rate of Heavy-Duty Vehicles</t>
  </si>
  <si>
    <t xml:space="preserve"> - Government Dollars to be spent for creating 1 short-term job-year</t>
  </si>
  <si>
    <t>Average</t>
  </si>
  <si>
    <t xml:space="preserve"> - </t>
  </si>
  <si>
    <t>http://www.bls.gov/data/inflation_calculator.htm</t>
  </si>
  <si>
    <t>ftp://ftp.bls.gov/pub/special.requests/cpi/cpiai.txt</t>
  </si>
  <si>
    <t>Factor Change (2014)</t>
  </si>
  <si>
    <t>Factor Change (2013)</t>
  </si>
  <si>
    <t>Change per Dollar</t>
  </si>
  <si>
    <t>% Change</t>
  </si>
  <si>
    <t>Annual</t>
  </si>
  <si>
    <t>Source Data (Calculated based on 2013):</t>
  </si>
  <si>
    <t>Conversion Factor (Multiply Year-Dollars by Conversion Factor to Get 2014 Dollars)</t>
  </si>
  <si>
    <t>Year Dollars as 2014 Dollars</t>
  </si>
  <si>
    <t>2013 Conversion Factors:</t>
  </si>
  <si>
    <t>POLB 2014  CPI Conversions</t>
  </si>
  <si>
    <t>gal/hr</t>
  </si>
  <si>
    <t>Average Value; Argonne National Laboratory, How Much Could You Save By Idling Less?</t>
  </si>
  <si>
    <t xml:space="preserve"> http://www.transportation.anl.gov/pdfs/TA/361.pdf</t>
  </si>
  <si>
    <t>US Department of Energy</t>
  </si>
  <si>
    <t>TRUCKS</t>
  </si>
  <si>
    <t>g/mile</t>
  </si>
  <si>
    <t>PM</t>
  </si>
  <si>
    <t>NOx</t>
  </si>
  <si>
    <t>VOC</t>
  </si>
  <si>
    <t>U.S. Department Of Labor, Bureau of Labor Statistics, Washington, D.C. 20212</t>
  </si>
  <si>
    <t>Consumer Price Index, All Urban Consumers - (CPI-U) US City Average, All items</t>
  </si>
  <si>
    <t>http://www.dot.ca.gov/hq/tpp/offices/eab/benefit_files/CalBC_Tech_Supplement_Vol3.pdf</t>
  </si>
  <si>
    <t>Capital Costs</t>
  </si>
  <si>
    <t>About this Spreadsheet</t>
  </si>
  <si>
    <t>Rates and Assumptions Used</t>
  </si>
  <si>
    <t xml:space="preserve"> - Increase in Short-Term Job-Years due to Project during Development and Construction</t>
  </si>
  <si>
    <t xml:space="preserve"> - Average # of Short-Term Jobs Created in a Year due to Project during Development and Construction</t>
  </si>
  <si>
    <t>https://www.transportation.gov/sites/dot.gov/files/docs/BCA%20Resource%20Guide%202016.pdf</t>
  </si>
  <si>
    <t>Personal</t>
  </si>
  <si>
    <t>Business</t>
  </si>
  <si>
    <t>All Purposes</t>
  </si>
  <si>
    <t xml:space="preserve"> - Value of Local Traveler Time (Surface Modes)</t>
  </si>
  <si>
    <t xml:space="preserve"> - Value of Intercity Traveler Time (Surface Modes)</t>
  </si>
  <si>
    <t>Consumer Price Index - All Urban Consumers</t>
  </si>
  <si>
    <t>Original Data Value</t>
  </si>
  <si>
    <t>Series Id:</t>
  </si>
  <si>
    <t>CUUS0000SA0</t>
  </si>
  <si>
    <t>Not Seasonally Adjusted</t>
  </si>
  <si>
    <t>Area:</t>
  </si>
  <si>
    <t>U.S. city average</t>
  </si>
  <si>
    <t>Item:</t>
  </si>
  <si>
    <t>All items</t>
  </si>
  <si>
    <t>Base Period:</t>
  </si>
  <si>
    <t>1982-84=100</t>
  </si>
  <si>
    <t>Years:</t>
  </si>
  <si>
    <t>1995 to 2015</t>
  </si>
  <si>
    <t>Annual Changes</t>
  </si>
  <si>
    <t>http://data.bls.gov/pdq/SurveyOutputServlet</t>
  </si>
  <si>
    <t>Historical CPI</t>
  </si>
  <si>
    <t>Average change (2005-2015)</t>
  </si>
  <si>
    <t>Value (in 2015)</t>
  </si>
  <si>
    <t>http://www.bls.gov/data/</t>
  </si>
  <si>
    <t>Average Vehicle Occupancy (AVO)</t>
  </si>
  <si>
    <t>Value of Time (VOT)</t>
  </si>
  <si>
    <t>N/A</t>
  </si>
  <si>
    <t>http://www.fhwa.dot.gov/policyinformation/statistics/2014/vm1.cfm</t>
  </si>
  <si>
    <t>FHWA Highway Statistics 2014, Table VM-1 (December 2015)</t>
  </si>
  <si>
    <t>LDGV</t>
  </si>
  <si>
    <t>LDGT</t>
  </si>
  <si>
    <t>HDGV</t>
  </si>
  <si>
    <t>LDDV</t>
  </si>
  <si>
    <t>LDDT</t>
  </si>
  <si>
    <t>HDDV</t>
  </si>
  <si>
    <t>MC</t>
  </si>
  <si>
    <t>THC</t>
  </si>
  <si>
    <r>
      <t>PM</t>
    </r>
    <r>
      <rPr>
        <vertAlign val="subscript"/>
        <sz val="10"/>
        <color theme="1"/>
        <rFont val="Calibri"/>
        <family val="2"/>
        <scheme val="minor"/>
      </rPr>
      <t>2.5</t>
    </r>
  </si>
  <si>
    <r>
      <t>PM</t>
    </r>
    <r>
      <rPr>
        <vertAlign val="subscript"/>
        <sz val="11"/>
        <color theme="1"/>
        <rFont val="Calibri"/>
        <family val="2"/>
        <scheme val="minor"/>
      </rPr>
      <t>10</t>
    </r>
  </si>
  <si>
    <t>LDGV: Light-duty gasoline-fueled vehicles</t>
  </si>
  <si>
    <t>LDGT: Light-duty gasoline-fueled trucks</t>
  </si>
  <si>
    <t>HDGV: Heavy-duty gasoline-fueled vehicles</t>
  </si>
  <si>
    <t>LDDV: Light-duty diesel-fueled vehicles</t>
  </si>
  <si>
    <t>HDDV: Heavy-duty diesel-fueled vehicles</t>
  </si>
  <si>
    <t>MC: Motorcicles</t>
  </si>
  <si>
    <t>LDDT: Light-duty diesel-fueled trucks</t>
  </si>
  <si>
    <t>Light-Duty Vehicles</t>
  </si>
  <si>
    <t>Heavy-Duty Vehicles</t>
  </si>
  <si>
    <r>
      <t>NO</t>
    </r>
    <r>
      <rPr>
        <vertAlign val="subscript"/>
        <sz val="11"/>
        <color theme="1"/>
        <rFont val="Calibri"/>
        <family val="2"/>
        <scheme val="minor"/>
      </rPr>
      <t>X</t>
    </r>
  </si>
  <si>
    <r>
      <t xml:space="preserve">Source: U.S. Environmental Protection Agency (EPA), Office of Transportation and Air Quality, </t>
    </r>
    <r>
      <rPr>
        <i/>
        <sz val="11"/>
        <color theme="1"/>
        <rFont val="Calibri"/>
        <family val="2"/>
        <scheme val="minor"/>
      </rPr>
      <t>Idling Vehicle Emissions for Passenger Cars, Light-Duty Trucks, and Heavy-Duty Trucks, page 4. (EPA420-F-08-025, October 2008)</t>
    </r>
  </si>
  <si>
    <t>Pollutant</t>
  </si>
  <si>
    <t>U.S. Environmental Protection Agency (EPA), Office of Transportation and Air Quality, Idling Vehicle Emissions for Passenger Cars, Light-Duty Trucks, and Heavy-Duty Trucks, page 4. (EPA420-F-08-025, October 2008)</t>
  </si>
  <si>
    <t>https://www3.epa.gov/otaq/consumer/420f08025.pdf</t>
  </si>
  <si>
    <t>Idling Emission Rates of Light-Duty Vehicles</t>
  </si>
  <si>
    <t>Idling Emission Rates of Heavy-Duty Vehicles</t>
  </si>
  <si>
    <t>HDGV (gasoline) in grams/mile</t>
  </si>
  <si>
    <t>HDDV (diesel) in grams/mile</t>
  </si>
  <si>
    <r>
      <t>PM</t>
    </r>
    <r>
      <rPr>
        <vertAlign val="subscript"/>
        <sz val="11"/>
        <color theme="1"/>
        <rFont val="Calibri"/>
        <family val="2"/>
        <scheme val="minor"/>
      </rPr>
      <t>2.5</t>
    </r>
  </si>
  <si>
    <r>
      <t>CO</t>
    </r>
    <r>
      <rPr>
        <vertAlign val="subscript"/>
        <sz val="11"/>
        <color theme="1"/>
        <rFont val="Calibri"/>
        <family val="2"/>
        <scheme val="minor"/>
      </rPr>
      <t>2</t>
    </r>
  </si>
  <si>
    <t xml:space="preserve">Passenger Cars </t>
  </si>
  <si>
    <t xml:space="preserve">Light-Duty Trucks </t>
  </si>
  <si>
    <r>
      <t xml:space="preserve">Source: U.S. Environmental Protection Agency (EPA), Office of Transportation and Air Quality, </t>
    </r>
    <r>
      <rPr>
        <i/>
        <sz val="11"/>
        <color theme="1"/>
        <rFont val="Calibri"/>
        <family val="2"/>
        <scheme val="minor"/>
      </rPr>
      <t xml:space="preserve">Average In-Use Emissions from Heavy-Duty Trucks </t>
    </r>
    <r>
      <rPr>
        <sz val="11"/>
        <color theme="1"/>
        <rFont val="Calibri"/>
        <family val="2"/>
        <scheme val="minor"/>
      </rPr>
      <t>(EPA420-F-08-027 October 2008)</t>
    </r>
  </si>
  <si>
    <t>Source: U.S. Environmental Protection Agency (EPA), Office of Transportation and Air Quality, Average Annual Emissions and Fuel Consumption for Gasoline-Fueled Passenger Cars and Light Trucks, pages 4-5 (EPA420-F-08-024, October 2008).</t>
  </si>
  <si>
    <t>Average Emissions (in grams/mile)  for Passenger Cars and Light Duty Trucks</t>
  </si>
  <si>
    <t>Average Emissions (in grams/mile) or Heavy-Duty Trucks (per mile driven)</t>
  </si>
  <si>
    <t>https://www3.epa.gov/otaq/consumer/420f08024.pdf</t>
  </si>
  <si>
    <t>https://www3.epa.gov/otaq/consumer/420f08027.pdf</t>
  </si>
  <si>
    <t>PMs</t>
  </si>
  <si>
    <t>U.S. Environmental Protection Agency (EPA), Office of Transportation and Air Quality, Average Annual Emissions and Fuel Consumption for Gasoline-Fueled Passenger Cars and Light Trucks, pages 4-5 (EPA420-F-08-024, October 2008).</t>
  </si>
  <si>
    <t xml:space="preserve">Estimated Average Idle Emission Rates (gal/hr) by Pollutant and Vehicle Type </t>
  </si>
  <si>
    <t xml:space="preserve">Estimated Average </t>
  </si>
  <si>
    <t>Source: U.S. Environmental Protection Agency (EPA), Office of Transportation and Air Quality, Average In-Use Emissions from Heavy-Duty Trucks (EPA420-F-08-027 October 2008)</t>
  </si>
  <si>
    <t>Truck</t>
  </si>
  <si>
    <r>
      <t>CO</t>
    </r>
    <r>
      <rPr>
        <b/>
        <vertAlign val="subscript"/>
        <sz val="10"/>
        <color theme="1"/>
        <rFont val="Arial"/>
        <family val="2"/>
      </rPr>
      <t>2</t>
    </r>
  </si>
  <si>
    <r>
      <t>PM</t>
    </r>
    <r>
      <rPr>
        <b/>
        <vertAlign val="subscript"/>
        <sz val="10"/>
        <color theme="1"/>
        <rFont val="Arial"/>
        <family val="2"/>
      </rPr>
      <t>10</t>
    </r>
  </si>
  <si>
    <r>
      <t>SO</t>
    </r>
    <r>
      <rPr>
        <b/>
        <vertAlign val="subscript"/>
        <sz val="10"/>
        <color theme="1"/>
        <rFont val="Arial"/>
        <family val="2"/>
      </rPr>
      <t>X</t>
    </r>
  </si>
  <si>
    <t>Cal-B/C Technical Supplement to User's Guide, Volume 3, Rev 2, Feb 2012.  Section III. Updates to Economic and Parameter Values, 6.1 Emission Rates, p. III-61 to III-69. Values adopted in Cal-B/C v5.0</t>
  </si>
  <si>
    <r>
      <rPr>
        <b/>
        <u/>
        <sz val="10"/>
        <color theme="1"/>
        <rFont val="Arial"/>
        <family val="2"/>
      </rPr>
      <t>Note</t>
    </r>
    <r>
      <rPr>
        <b/>
        <sz val="10"/>
        <color theme="1"/>
        <rFont val="Arial"/>
        <family val="2"/>
      </rPr>
      <t>: The current version of Cal-B/C used EMFAC2011 to generate emissions factors for 2011 and 2031 EMFAC estimates. Cal-B/C uses the 2011 rates first seven years of the analysis and the 2031 rates for the last 13 years of analysis for all pollutants.</t>
    </r>
  </si>
  <si>
    <t>Average Emission Rates of Light-Duty Vehicles</t>
  </si>
  <si>
    <t>Average Emission Rates of Heavy-Duty Vehicles</t>
  </si>
  <si>
    <t>Damage Costs</t>
  </si>
  <si>
    <t>Value (Year)</t>
  </si>
  <si>
    <t>F (speed)</t>
  </si>
  <si>
    <t>$/metric ton</t>
  </si>
  <si>
    <t>$/short ton</t>
  </si>
  <si>
    <t>Emission Rates of Light and Heavy Duty Vehicles</t>
  </si>
  <si>
    <t>Guidance on Treatment of the Economic Value of a Statistical Life in U.S. Department of Transportation Analyses (2016)</t>
  </si>
  <si>
    <t>http://www.dot.gov/office-policy/transportation-policy/guidance-treatment-economic-value-statistical-life</t>
  </si>
  <si>
    <t>Recommended Monetized Value(s)</t>
  </si>
  <si>
    <t>Reference and Notes</t>
  </si>
  <si>
    <t>By Abbreviated Injury Scale (AIS) Severity</t>
  </si>
  <si>
    <t>Guidance on Treatment of the Economic Value of a Statistical Life in U.S. Department of Transportation Analyses (2016 )</t>
  </si>
  <si>
    <t>AIS Level</t>
  </si>
  <si>
    <t>Severity</t>
  </si>
  <si>
    <t>Fraction of VSL</t>
  </si>
  <si>
    <t>Unit Value (in 2015$)</t>
  </si>
  <si>
    <t>AIS 1</t>
  </si>
  <si>
    <t>Minor</t>
  </si>
  <si>
    <t>AIS 2</t>
  </si>
  <si>
    <t>Moderate</t>
  </si>
  <si>
    <t>NOTE: Accident data (particularly those provided through law enforcement records) are typically reported as a single number (e.g. “X number of crashes in Year Y”) and/or on the KABCO scale of crash severity. Applicants should convert these values to the AIS scale before applying the recommended monetized values. See Part II Section 3 (“Converting Available Accident Data into AIS Data”).</t>
  </si>
  <si>
    <t>AIS 3</t>
  </si>
  <si>
    <t>Serious</t>
  </si>
  <si>
    <t>AIS 4</t>
  </si>
  <si>
    <t>Severe</t>
  </si>
  <si>
    <t>AIS 5</t>
  </si>
  <si>
    <t>Critical</t>
  </si>
  <si>
    <t>AIS 6</t>
  </si>
  <si>
    <t>Fatal</t>
  </si>
  <si>
    <t>Table 3. Comparison of Injury Severity Scales (KABCO vs AIS vs Unknown)</t>
  </si>
  <si>
    <t>Reported Accidents</t>
  </si>
  <si>
    <t xml:space="preserve">Reported Accidents </t>
  </si>
  <si>
    <t xml:space="preserve"> (KABCO or # Accidents Reported)</t>
  </si>
  <si>
    <t>(AIS)</t>
  </si>
  <si>
    <t>O</t>
  </si>
  <si>
    <t>No injury</t>
  </si>
  <si>
    <t>C</t>
  </si>
  <si>
    <t>Possible Injury</t>
  </si>
  <si>
    <t>B</t>
  </si>
  <si>
    <t>Non-incapacitating</t>
  </si>
  <si>
    <t>A</t>
  </si>
  <si>
    <t>Incapacitating</t>
  </si>
  <si>
    <t>K</t>
  </si>
  <si>
    <t>Killed</t>
  </si>
  <si>
    <t>U</t>
  </si>
  <si>
    <t>Injured (Severity Unknown)</t>
  </si>
  <si>
    <t># Accident Reported</t>
  </si>
  <si>
    <t>Unknown if Injured</t>
  </si>
  <si>
    <t>Unsurvivable</t>
  </si>
  <si>
    <t>Table 4. KABCO/Unknown – AIS Data Conversion Matrix</t>
  </si>
  <si>
    <t>AIS</t>
  </si>
  <si>
    <t># Non-fatal Accidents</t>
  </si>
  <si>
    <t>Sum (Prob)</t>
  </si>
  <si>
    <t># of Accidents Reported on the KABCO scale =</t>
  </si>
  <si>
    <t>AIS 0</t>
  </si>
  <si>
    <t>SUBTOTAL  =</t>
  </si>
  <si>
    <t>No Injury</t>
  </si>
  <si>
    <t xml:space="preserve">Monetized Value of Reported KABCO-scaled Accidents </t>
  </si>
  <si>
    <t>-  Accident Cost (Incapaciting Injury)</t>
  </si>
  <si>
    <t>-  Accident Cost (Non-Incapaciting Injury)</t>
  </si>
  <si>
    <t>-  Accident Cost (Possible Injury)</t>
  </si>
  <si>
    <t xml:space="preserve"> - Accident Cost (Injured Severity Unknown)</t>
  </si>
  <si>
    <t>Operating Cost</t>
  </si>
  <si>
    <t>Small Sedan</t>
  </si>
  <si>
    <t>Medium Sedan</t>
  </si>
  <si>
    <t>Large Sedan</t>
  </si>
  <si>
    <t>Total =</t>
  </si>
  <si>
    <t>4WD Sport Utility Vehicle</t>
  </si>
  <si>
    <t>Minivan</t>
  </si>
  <si>
    <t>Source: Your Driving Costs, 2015 Edition (AAA)</t>
  </si>
  <si>
    <t>Fuel Costs</t>
  </si>
  <si>
    <t>Truck/Trailer Lease or Purchase Payments</t>
  </si>
  <si>
    <t>Repair &amp; Maintenance</t>
  </si>
  <si>
    <t>Truck Insurance Premiums</t>
  </si>
  <si>
    <t>Permits and Licenses</t>
  </si>
  <si>
    <t>Tires</t>
  </si>
  <si>
    <t>Tolls</t>
  </si>
  <si>
    <t>Miles per Year</t>
  </si>
  <si>
    <t>Sedan (Composite Average)</t>
  </si>
  <si>
    <t>Auto Type</t>
  </si>
  <si>
    <t>Auto (Average)</t>
  </si>
  <si>
    <t>AUTOS</t>
  </si>
  <si>
    <t>Note: Average costs per mile includes costs for fuel, maintenance, tires, full-coverage insurance, fees (license and registration) and taxes, depreciation, and financing.</t>
  </si>
  <si>
    <t>http://exchange.aaa.com/automobiles-travel/automobiles/driving-costs/</t>
  </si>
  <si>
    <t>Your Driving Costs Historical Data/Downloads available at</t>
  </si>
  <si>
    <t>Average Monetized Value of Accident (for KABCO-reported and generic accident data)</t>
  </si>
  <si>
    <t xml:space="preserve"> - MAIS 0 (No Injury), Fraction of VLS</t>
  </si>
  <si>
    <t xml:space="preserve"> - MAIS 1 (Minor Severity), Fraction of VLS</t>
  </si>
  <si>
    <t xml:space="preserve"> - MAIS 2 (Moderate Severity), Fraction of VLS</t>
  </si>
  <si>
    <t xml:space="preserve"> - MAIS 3 (Serious Severity), Fraction of VLS</t>
  </si>
  <si>
    <t xml:space="preserve"> - MAIS 4 (Severe Severity), Fraction of VLS</t>
  </si>
  <si>
    <t xml:space="preserve"> - MAIS 5 (Critical Severity), Fraction of VLS</t>
  </si>
  <si>
    <t xml:space="preserve"> - MAIS 6 (Not Survivable), Fraction of VLS</t>
  </si>
  <si>
    <t xml:space="preserve"> - MAIS 0 (No Injury)</t>
  </si>
  <si>
    <t xml:space="preserve"> - MAIS 1 (Minor Severity)</t>
  </si>
  <si>
    <t xml:space="preserve"> - MAIS 2 (Moderate Severity)</t>
  </si>
  <si>
    <t xml:space="preserve"> - MAIS 3 (Serious Severity)</t>
  </si>
  <si>
    <t xml:space="preserve"> - MAIS 4 (Severe Severity)</t>
  </si>
  <si>
    <t xml:space="preserve"> - MAIS 5 (Critical Severity)</t>
  </si>
  <si>
    <t xml:space="preserve"> - MAIS 6 (Not Survivable)</t>
  </si>
  <si>
    <t>Maximum Abreviated Injured Scale (MAIS)</t>
  </si>
  <si>
    <t>Monetized Value of Accident (based on the MAIS Scale)</t>
  </si>
  <si>
    <t>Vehicle Class/Highway Class</t>
  </si>
  <si>
    <t>Autos/Rural Interstate</t>
  </si>
  <si>
    <t>Autos/Urban Interstate</t>
  </si>
  <si>
    <t>40 kip 4-axle S.U. Truck/Rural Interstate</t>
  </si>
  <si>
    <t>40 kip 4-axle S.U. Truck/Urban Interstate</t>
  </si>
  <si>
    <t>60 kip 4-axle S.U. Truck/Rural Interstate</t>
  </si>
  <si>
    <t>60 kip 4-axle S.U. Truck/Urban Interstate</t>
  </si>
  <si>
    <t>60 kip 5-axle Comb/Rural Interstate</t>
  </si>
  <si>
    <t>60 kip 5-axle Comb/Urban Interstate</t>
  </si>
  <si>
    <t>80 kip 5-axle Comb/Rural Interstate</t>
  </si>
  <si>
    <t>80 kip 5-axle Comb/Urban Interstate</t>
  </si>
  <si>
    <t xml:space="preserve"> - Marginal Public Infrastructure Cost (pavement cost)</t>
  </si>
  <si>
    <t xml:space="preserve"> - Marginal Public Infrastructure Cost (noise cost)</t>
  </si>
  <si>
    <t>Addendum to the 1997 Federal Highway Cost Allocation Study Final Report, U.S. Department of Transportation, Federal Highway Administration, May 2000. Table 13.</t>
  </si>
  <si>
    <t xml:space="preserve"> - Property Damage Only (PDO) Crashes</t>
  </si>
  <si>
    <t>The Economic and Societal Impact of Motor Vehicle Crashes, 2010</t>
  </si>
  <si>
    <t xml:space="preserve">- Auto, Urban </t>
  </si>
  <si>
    <t xml:space="preserve">- Truck, Urban </t>
  </si>
  <si>
    <r>
      <t xml:space="preserve">2016 TIGER Benefit-Cost Analysis (BCA) Resource Guide supplement to the </t>
    </r>
    <r>
      <rPr>
        <b/>
        <i/>
        <sz val="10"/>
        <rFont val="Arial"/>
        <family val="2"/>
      </rPr>
      <t>2016 Benefit-Cost Analysis Guidance for Grant Applicants</t>
    </r>
  </si>
  <si>
    <r>
      <t xml:space="preserve">2016 TIGER Benefit-Cost Analysis (BCA)Resource Guide supplement to the </t>
    </r>
    <r>
      <rPr>
        <b/>
        <i/>
        <sz val="10"/>
        <rFont val="Arial"/>
        <family val="2"/>
      </rPr>
      <t xml:space="preserve">2016 Benefit-Cost Analysis Guidance for Grant Applicants. </t>
    </r>
    <r>
      <rPr>
        <b/>
        <sz val="10"/>
        <rFont val="Arial"/>
        <family val="2"/>
      </rPr>
      <t>Table 1. Recommended Monetized Values</t>
    </r>
  </si>
  <si>
    <t>TIGER Benefit-Cost Analysis (BCA) Resource Guide supplement to the 2016 Benefit-Cost Analysis Guidance for Grant Applicants. Table 1. Recommended Monetized Values</t>
  </si>
  <si>
    <t>2016 TIGER Benefit-Cost Analysis (BCA) Resource Guide supplement to the 2016 Benefit-Cost Analysis Guidance for Grant Applicants</t>
  </si>
  <si>
    <t>2016 TIGER Benefit-Cost Analysis (BCA) Resource Guide supplement to the 2016 Benefit-Cost Analysis Guidance for Grant Applicants. Note: the USDOT estimates that there are 13,000 short-term job-years created per one billion dollars of government investment (or $76,900 per job-year)</t>
  </si>
  <si>
    <t>Vehicle Operating Costs (VOC) Assumptions</t>
  </si>
  <si>
    <t>- VOC for Autos</t>
  </si>
  <si>
    <t>- VOC for Trucks</t>
  </si>
  <si>
    <r>
      <t xml:space="preserve">Source: </t>
    </r>
    <r>
      <rPr>
        <i/>
        <sz val="11"/>
        <color theme="1"/>
        <rFont val="Calibri"/>
        <family val="2"/>
        <scheme val="minor"/>
      </rPr>
      <t>An Analysis of the Operational Costs of Trucking: 2015 Update</t>
    </r>
    <r>
      <rPr>
        <sz val="11"/>
        <color theme="1"/>
        <rFont val="Calibri"/>
        <family val="2"/>
        <scheme val="minor"/>
      </rPr>
      <t xml:space="preserve"> (ATRI, September 2015), Table 15, p. 27</t>
    </r>
  </si>
  <si>
    <r>
      <t xml:space="preserve">Estimated by CS based on vehicle operating costs provided by AAA, </t>
    </r>
    <r>
      <rPr>
        <b/>
        <i/>
        <sz val="10"/>
        <color theme="1"/>
        <rFont val="Arial"/>
        <family val="2"/>
      </rPr>
      <t>Your Driving Costs, 2015 Edition</t>
    </r>
    <r>
      <rPr>
        <b/>
        <sz val="10"/>
        <color theme="1"/>
        <rFont val="Arial"/>
        <family val="2"/>
      </rPr>
      <t>. See computations in "VOC" tab.</t>
    </r>
  </si>
  <si>
    <r>
      <t xml:space="preserve">Estimated by CS based on vehicle operating costs provided by ATRI, </t>
    </r>
    <r>
      <rPr>
        <b/>
        <i/>
        <sz val="10"/>
        <color theme="1"/>
        <rFont val="Arial"/>
        <family val="2"/>
      </rPr>
      <t>An Analysis of the Operational Costs of Trucking: 2015 Update</t>
    </r>
    <r>
      <rPr>
        <b/>
        <sz val="10"/>
        <color theme="1"/>
        <rFont val="Arial"/>
        <family val="2"/>
      </rPr>
      <t xml:space="preserve"> (Sep 2015), Table 15, p. 27. See computations in "VOC" tab.</t>
    </r>
  </si>
  <si>
    <t>http://atri-online.org/wp-content/uploads/2015/09/ATRI-Operational-Costs-of-Trucking-2015-FINAL-09-2015.pdf</t>
  </si>
  <si>
    <t>Driving costs (cents per mile) in 2014$</t>
  </si>
  <si>
    <r>
      <rPr>
        <b/>
        <sz val="10"/>
        <rFont val="Arial"/>
        <family val="2"/>
      </rPr>
      <t>2016 TIGER Benefit-Cost Analysis (BCA) Resource Guide</t>
    </r>
    <r>
      <rPr>
        <b/>
        <i/>
        <sz val="10"/>
        <rFont val="Arial"/>
        <family val="2"/>
      </rPr>
      <t xml:space="preserve">; Corporate Average Fuel Economy for MY2017-MY2025 Passenger Cars and Light Trucks </t>
    </r>
    <r>
      <rPr>
        <b/>
        <sz val="10"/>
        <rFont val="Arial"/>
        <family val="2"/>
      </rPr>
      <t xml:space="preserve">(August 2012), page 922, Table VIII-16, "Economic Values Used for Benefits Computations (2010 dollars). </t>
    </r>
    <r>
      <rPr>
        <b/>
        <u/>
        <sz val="10"/>
        <rFont val="Arial"/>
        <family val="2"/>
      </rPr>
      <t>Note</t>
    </r>
    <r>
      <rPr>
        <b/>
        <sz val="10"/>
        <rFont val="Arial"/>
        <family val="2"/>
      </rPr>
      <t>: The Resource Guide converts this value into 2015 dollars.</t>
    </r>
  </si>
  <si>
    <r>
      <t xml:space="preserve">2016 TIGER Benefit-Cost Analysis (BCA) Resource Guide; Corporate Average Fuel Economy for MY2017-MY2025 Passenger Cars and Light Trucks (August 2012), page 922, Table VIII-16, "Economic Values Used for Benefits Computations (2010 dollars). </t>
    </r>
    <r>
      <rPr>
        <b/>
        <u/>
        <sz val="10"/>
        <rFont val="Arial"/>
        <family val="2"/>
      </rPr>
      <t>Note</t>
    </r>
    <r>
      <rPr>
        <b/>
        <sz val="10"/>
        <rFont val="Arial"/>
        <family val="2"/>
      </rPr>
      <t>: The Resource Guide converts this value into 2015 dollars.</t>
    </r>
  </si>
  <si>
    <r>
      <rPr>
        <b/>
        <sz val="10"/>
        <rFont val="Arial"/>
        <family val="2"/>
      </rPr>
      <t>2016 TIGER Benefit-Cost Analysis (BCA) Resource Guide</t>
    </r>
    <r>
      <rPr>
        <b/>
        <i/>
        <sz val="10"/>
        <rFont val="Arial"/>
        <family val="2"/>
      </rPr>
      <t xml:space="preserve">; Technical Support Document: Technical Update of the Social Cost of Carbon for Regulatory Impact Analysis Under Executive Order 12866 (May 2013; </t>
    </r>
    <r>
      <rPr>
        <b/>
        <sz val="10"/>
        <rFont val="Arial"/>
        <family val="2"/>
      </rPr>
      <t>revised July 2015), page 17, Table A1 “Annual SCC Values: 2010-2050 (2007$/metric ton CO2);</t>
    </r>
    <r>
      <rPr>
        <b/>
        <i/>
        <sz val="10"/>
        <rFont val="Arial"/>
        <family val="2"/>
      </rPr>
      <t xml:space="preserve"> </t>
    </r>
    <r>
      <rPr>
        <b/>
        <u/>
        <sz val="10"/>
        <rFont val="Arial"/>
        <family val="2"/>
      </rPr>
      <t>Note</t>
    </r>
    <r>
      <rPr>
        <b/>
        <sz val="10"/>
        <rFont val="Arial"/>
        <family val="2"/>
      </rPr>
      <t>: values for 3% discount rate.</t>
    </r>
  </si>
  <si>
    <t>Estimated based on the KABCO/Unknown - AIS Data Conversion Matrix developed by the NHTSA (July 2011) and provided in the 2016 TIGER Benefit-Cost Analysis (BCA) Resource Guide, page 13 of 20. See computations in "KABCO-AIS Conv Matrix" tab.</t>
  </si>
  <si>
    <t>Persons Killed/100 Million VMT</t>
  </si>
  <si>
    <t>Average Marginal VOC per mile for the Southeast Region in 2014</t>
  </si>
  <si>
    <t>Table 4. Travel Time Delay Impacts</t>
  </si>
  <si>
    <t>Travel Time Delay Impacts</t>
  </si>
  <si>
    <t>D</t>
  </si>
  <si>
    <t>E</t>
  </si>
  <si>
    <t>F</t>
  </si>
  <si>
    <t>G</t>
  </si>
  <si>
    <t>H</t>
  </si>
  <si>
    <t>I</t>
  </si>
  <si>
    <t>J</t>
  </si>
  <si>
    <t>Calendar Year</t>
  </si>
  <si>
    <t>Annual Travel Time Delays (260 workdays)
[Delay hrs*C*260]</t>
  </si>
  <si>
    <t>Total Value of Travel Time Delays ($2015)
[G* $13 per hour * CPI 2015/CPI 2013]</t>
  </si>
  <si>
    <t>NPV of Travel Time Delays (3%)
[H/(1+3%)^A]</t>
  </si>
  <si>
    <t>NPV of Travel Time Delays (7%)
[H/(1+7%)^A]</t>
  </si>
  <si>
    <t>Inputs</t>
  </si>
  <si>
    <t>CPI 2013</t>
  </si>
  <si>
    <t>CPI 2015</t>
  </si>
  <si>
    <t>Average Veh. Operating Costs (NCHRP 720)</t>
  </si>
  <si>
    <t>Crash Reduction Factor</t>
  </si>
  <si>
    <t>Discount Rate (3%)</t>
  </si>
  <si>
    <t>USDOT discount rate (7%)</t>
  </si>
  <si>
    <t>Effects of Poor Roadway Conditions</t>
  </si>
  <si>
    <t>Travel Time Delay due to Poor Conditions (h)</t>
  </si>
  <si>
    <t>O&amp;M Costs (every 7 years)</t>
  </si>
  <si>
    <t>Dollar Value of crash Costs ($2013)</t>
  </si>
  <si>
    <t>Year ID</t>
  </si>
  <si>
    <t>AADT values based on data provided by City of Jackson</t>
  </si>
  <si>
    <t>Combination of NB and SB traffic volumes</t>
  </si>
  <si>
    <t>Travel Time Cost Savings</t>
  </si>
  <si>
    <t>VMT Growth Rate Baselime (2020-2045)</t>
  </si>
  <si>
    <t xml:space="preserve"> - PDO Rate</t>
  </si>
  <si>
    <t>PDO Crashes/100 Million VMT</t>
  </si>
  <si>
    <t>Undiscounted Project Costs (All Values in 2015$)</t>
  </si>
  <si>
    <t>I-I</t>
  </si>
  <si>
    <t>I-E/E-I</t>
  </si>
  <si>
    <t>E-E</t>
  </si>
  <si>
    <t>Auto.Leisure</t>
  </si>
  <si>
    <t>Auto.Commute</t>
  </si>
  <si>
    <t>Auto.Business</t>
  </si>
  <si>
    <t>Local Trips</t>
  </si>
  <si>
    <t>Regional Trips</t>
  </si>
  <si>
    <t>Long Trips</t>
  </si>
  <si>
    <t xml:space="preserve">Auto.Leisure </t>
  </si>
  <si>
    <t>Source: Memphis MPO TDM</t>
  </si>
  <si>
    <t xml:space="preserve">Auto.Commute </t>
  </si>
  <si>
    <t xml:space="preserve">Auto.Business </t>
  </si>
  <si>
    <t>Local Trips (Internal - Internal)</t>
  </si>
  <si>
    <t>Regional Trips (Internal - External/External - Internal)</t>
  </si>
  <si>
    <t>Long Trips (External - External)</t>
  </si>
  <si>
    <t>Value of Time (VOT) in 2015$</t>
  </si>
  <si>
    <t>Monetary Value (in 2015$) = AVO x VOT x Changes in VHT = (a)</t>
  </si>
  <si>
    <t>Monetary Value (in 2015$) = AVO x VOT x Changes in VHT = (b)</t>
  </si>
  <si>
    <t>Monetary Value (in 2015$) = AVO x VOT x Changes in VHT = (c )</t>
  </si>
  <si>
    <t>Monetary Value (in 2015$) = AVO x VOT x Changes in VHT = (d)</t>
  </si>
  <si>
    <t>(a) + (b) + (c ) + (d) =</t>
  </si>
  <si>
    <t>Local Trips (Internal - Internal) + Regional Trips (Internal - External/External - Internal) + Long Trips (External - External)</t>
  </si>
  <si>
    <t xml:space="preserve">Changes in VHT (in hours) = VHT Build - VHT No Build </t>
  </si>
  <si>
    <t>Sub-Total (in 2015$) =</t>
  </si>
  <si>
    <t>Total (in 2015$) =</t>
  </si>
  <si>
    <t xml:space="preserve">Travel Time </t>
  </si>
  <si>
    <t>Note: Sources of VOT are provided in the "Rates - Single" Tab</t>
  </si>
  <si>
    <t>Value of Statistical Life (VSL)</t>
  </si>
  <si>
    <t>2015 Running Emission Rates (g/mile)</t>
  </si>
  <si>
    <t>Light Duty</t>
  </si>
  <si>
    <t>Passenger Truck</t>
  </si>
  <si>
    <t>Buses</t>
  </si>
  <si>
    <t>All Trucks</t>
  </si>
  <si>
    <t>Speed (mph)</t>
  </si>
  <si>
    <t>All Rd Types</t>
  </si>
  <si>
    <t>CO2eq</t>
  </si>
  <si>
    <t>PM2.5</t>
  </si>
  <si>
    <t>SO2</t>
  </si>
  <si>
    <t>2025 Running Emission Rates (g/mile)</t>
  </si>
  <si>
    <t>2- Rural restricted access</t>
  </si>
  <si>
    <t>3-Rural unrestricted access</t>
  </si>
  <si>
    <t>4-Urban restricted access</t>
  </si>
  <si>
    <t>5-Urban unrestricted access</t>
  </si>
  <si>
    <t>Source: Emissions Calculator Technical Documentation and User Guide, Prepared for Indianapolis MPO, Prepared by CS, Dec 03, 2015</t>
  </si>
  <si>
    <t>Sub-Total (in VHT changes) =</t>
  </si>
  <si>
    <t>All Trips</t>
  </si>
  <si>
    <t>Totals =</t>
  </si>
  <si>
    <t>Total (in VHT changes) =</t>
  </si>
  <si>
    <t>Note: Positive values represent additional VMT/additional travel-time costs and negative values represent reduced VMT/savings in travel-time costs</t>
  </si>
  <si>
    <t>Grand Total</t>
  </si>
  <si>
    <t>Reduced/Additional Travel Time (in hours)</t>
  </si>
  <si>
    <t>Note: Negative values represent savings and positive values represent losses</t>
  </si>
  <si>
    <t>Value (in 2015$)</t>
  </si>
  <si>
    <t>Note: Source(s) of unit cost for traffic crashes are provided in the "Rates - Single" Tab</t>
  </si>
  <si>
    <t>Vehicle Class</t>
  </si>
  <si>
    <t>Urban Highways</t>
  </si>
  <si>
    <t>High</t>
  </si>
  <si>
    <t>Med.</t>
  </si>
  <si>
    <t>Low</t>
  </si>
  <si>
    <t>Automobile</t>
  </si>
  <si>
    <t>Pickup &amp; Van</t>
  </si>
  <si>
    <t>Single Unit Trucks</t>
  </si>
  <si>
    <t>Combination Trucks</t>
  </si>
  <si>
    <t>All Vehicles</t>
  </si>
  <si>
    <t>Med. (Average)</t>
  </si>
  <si>
    <t>Trucks</t>
  </si>
  <si>
    <t>Passenger Cars</t>
  </si>
  <si>
    <t>in 2000$</t>
  </si>
  <si>
    <t>CPI 2000</t>
  </si>
  <si>
    <t>in 2015$</t>
  </si>
  <si>
    <t>http://www.fhwa.dot.gov/policy/hcas/final/five.cfm</t>
  </si>
  <si>
    <t>Source: 1997 Federal Highway Cost Allocation Study, Final Report, Table V-22</t>
  </si>
  <si>
    <t>Note: Inflated from 2000 to 2010 dollars based on the Conusmer Price Index (CPI)</t>
  </si>
  <si>
    <t>Urban Highways (Average)</t>
  </si>
  <si>
    <t>Adapted from Table V-26. 2000 Marginal External Pavement Cost (in cents per mile)</t>
  </si>
  <si>
    <t>Adapted from Table V-22. 2000 Marginal External Noise Cost (cents per mile)</t>
  </si>
  <si>
    <t>Estimated Marginal External Noise Costs (in 2015$)</t>
  </si>
  <si>
    <t>Estimated Marginal External Pavement Costs ( in cents per mile)</t>
  </si>
  <si>
    <t>NPV of Travel Time Cost Saved/Wasted</t>
  </si>
  <si>
    <t>Monetary Value of Travel Time Cost Saved/Wasted (in 2015$)</t>
  </si>
  <si>
    <t>Table  1. Travel Time Cost Benefits</t>
  </si>
  <si>
    <t>NPV =
[J/(1+3%)^A]</t>
  </si>
  <si>
    <t>NPV =
[J/(1+7%)^A]</t>
  </si>
  <si>
    <t>NPV of Non-Carbon Emission Cost Saved/Wasted</t>
  </si>
  <si>
    <t>Note:  Updated emission rates in 2015 and 2025 estimated by CS using MOVES2014</t>
  </si>
  <si>
    <t>Cost Categories</t>
  </si>
  <si>
    <t>Construction Schedule</t>
  </si>
  <si>
    <t>Capital Cost - Annual Expenditures (in 2015$)</t>
  </si>
  <si>
    <t>Begin</t>
  </si>
  <si>
    <t>End</t>
  </si>
  <si>
    <t>Total (2015$)</t>
  </si>
  <si>
    <t>Total Capital Cost =</t>
  </si>
  <si>
    <t>Capital Costs (in 2015$)</t>
  </si>
  <si>
    <t>O&amp;M Costs (in 2015$)</t>
  </si>
  <si>
    <t>A. State of Good Repair (SOGR)</t>
  </si>
  <si>
    <t>Noise Cost</t>
  </si>
  <si>
    <t>Savings</t>
  </si>
  <si>
    <t>Discounted at 3%</t>
  </si>
  <si>
    <t>VOC Savings</t>
  </si>
  <si>
    <t>Non-Carbon Emissions Costs</t>
  </si>
  <si>
    <t>Motor Vehicle Crash Costs</t>
  </si>
  <si>
    <t>State of Good Repair Costs</t>
  </si>
  <si>
    <t>In 2015$</t>
  </si>
  <si>
    <t>Project Benefits</t>
  </si>
  <si>
    <t>O&amp;M Costs</t>
  </si>
  <si>
    <t>NPV of Capital Costs</t>
  </si>
  <si>
    <t>NPV of O&amp;M Costs</t>
  </si>
  <si>
    <t>NPV of Total Costs</t>
  </si>
  <si>
    <t>NPV =
[C/(1+3%)^A]</t>
  </si>
  <si>
    <t>NPV =
[C/(1+7%)^A]</t>
  </si>
  <si>
    <t>NPV =
[D/(1+3%)^A]</t>
  </si>
  <si>
    <t>NPV =
[D/(1+7%)^A]</t>
  </si>
  <si>
    <t>E + G</t>
  </si>
  <si>
    <t>F + H</t>
  </si>
  <si>
    <t>Benefit Category</t>
  </si>
  <si>
    <t>Benefit-Cost Analysis Summary @ 3% Discount Rate</t>
  </si>
  <si>
    <t xml:space="preserve">Project Costs </t>
  </si>
  <si>
    <t>Discounted at 7%</t>
  </si>
  <si>
    <t>Benefit-Cost Analysis Summary @ 7% Discount Rate</t>
  </si>
  <si>
    <t>"Rates - Single" Tab</t>
  </si>
  <si>
    <t>"Costs Summary" Tab</t>
  </si>
  <si>
    <t>Total Benefits (B) =</t>
  </si>
  <si>
    <t>Total Costs (C) =</t>
  </si>
  <si>
    <t>NET PRESENT VALUE = (B) - (C ) =</t>
  </si>
  <si>
    <t>BENEFIT-COST RATIO = (B) / (C ) =</t>
  </si>
  <si>
    <t>Total Costs (C )=</t>
  </si>
  <si>
    <r>
      <t xml:space="preserve">2016 TIGER Benefit-Cost Analysis (BCA) Resource Guide; Corporate Average Fuel Economy for MY2017-MY2025 Passenger Cars and Light Trucks (August 2012), page 922, Table VIII-16, "Economic Values Used for Benefits Computations (2010 dollars)." </t>
    </r>
    <r>
      <rPr>
        <b/>
        <u/>
        <sz val="10"/>
        <rFont val="Arial"/>
        <family val="2"/>
      </rPr>
      <t>Note</t>
    </r>
    <r>
      <rPr>
        <b/>
        <sz val="10"/>
        <rFont val="Arial"/>
        <family val="2"/>
      </rPr>
      <t>: The Resource Guide converts this value into 2015 dollars.</t>
    </r>
  </si>
  <si>
    <t>Emissions Cost Savings</t>
  </si>
  <si>
    <t xml:space="preserve">Monetary Value (in 2015$) = AVO x VOT x Changes in VHT </t>
  </si>
  <si>
    <t>(1) Net Present Value of the Project and Benefit/Cost Ratio.</t>
  </si>
  <si>
    <t>(2) Total Project Costs and Total Project Benefits</t>
  </si>
  <si>
    <t>(3) Project Benefits Summary by benefit type</t>
  </si>
  <si>
    <t>(4) Emissions Cost Assumptions</t>
  </si>
  <si>
    <t>(5) Accident Cost and Rates</t>
  </si>
  <si>
    <t xml:space="preserve"> </t>
  </si>
  <si>
    <t>https://www.transportation.gov/sites/dot.gov/files/docs/BCA%20Resource%20Guide%20-%20November%202016.pdf</t>
  </si>
  <si>
    <t>Fatality Rate</t>
  </si>
  <si>
    <r>
      <t>2016</t>
    </r>
    <r>
      <rPr>
        <b/>
        <sz val="10"/>
        <color theme="1"/>
        <rFont val="Gulim"/>
        <family val="2"/>
      </rPr>
      <t>†</t>
    </r>
  </si>
  <si>
    <t>† Trading Economics Global Macro CPI forecast for 2016 with actual data up to Oct 2016.</t>
  </si>
  <si>
    <t xml:space="preserve"> Project Costs </t>
  </si>
  <si>
    <t>Baseline</t>
  </si>
  <si>
    <t>Build</t>
  </si>
  <si>
    <t>Auto - Commute</t>
  </si>
  <si>
    <t>Auto - Leisure</t>
  </si>
  <si>
    <t>Annualization Rates</t>
  </si>
  <si>
    <t>Commute</t>
  </si>
  <si>
    <t>Other Family/Errands</t>
  </si>
  <si>
    <t>Social/Recreational</t>
  </si>
  <si>
    <t>Auto Occupancy (Commute)</t>
  </si>
  <si>
    <t>Source: American FactFinder. Available at http://factfinder.census.gov/faces/tableservices/jsf/pages/productview.xhtml?pid=ACS_15_1YR_S0801&amp;prodType=table</t>
  </si>
  <si>
    <t>Non-Work Auto Occupancy, U.S., 2009</t>
  </si>
  <si>
    <t>Texas Motor Vehicle Crash Rates (4-lane or more, divided)</t>
  </si>
  <si>
    <t>Persons Injured (incapacitated)/100 Million VMT</t>
  </si>
  <si>
    <t>Persons Injured (non-incapacitated)/100 Million VMT</t>
  </si>
  <si>
    <t>Note: Sources of VOT are provided in the "Rates - Single" Tab. Sources of AVO are provided in the AVO tab.</t>
  </si>
  <si>
    <t>Total Travel Time Savings (2015 $)</t>
  </si>
  <si>
    <t>Total Travel Time Changes (in hours)</t>
  </si>
  <si>
    <t>Auto Commute</t>
  </si>
  <si>
    <t>Auto Leisure</t>
  </si>
  <si>
    <t>Travel Time Savings</t>
  </si>
  <si>
    <t>CO2</t>
  </si>
  <si>
    <t>NOX</t>
  </si>
  <si>
    <t>SOX</t>
  </si>
  <si>
    <t>Metric Ton to Grams</t>
  </si>
  <si>
    <t>Short Ton to Grams</t>
  </si>
  <si>
    <t>C. Sustainability</t>
  </si>
  <si>
    <t>D. Safety</t>
  </si>
  <si>
    <t>Note: Negative values represent losses and positive values represent savings</t>
  </si>
  <si>
    <t>Emission Cost Savings (2015 $)</t>
  </si>
  <si>
    <t>Value of Emission Savings by Emission Type</t>
  </si>
  <si>
    <t>State of Good Repair (SOGR) savings on Segment I-2B baseline</t>
  </si>
  <si>
    <t>Table 7. Project Life Cycle Cost Analysis</t>
  </si>
  <si>
    <t>CS Assumption</t>
  </si>
  <si>
    <t>Total Roads</t>
  </si>
  <si>
    <t>Source: Summary of Travel Trends: 2009 National Household Travel Survey. Available at: http://nhts.ornl.gov/2009/pub/stt.pdf</t>
  </si>
  <si>
    <t>Shopping</t>
  </si>
  <si>
    <t>Trip Type</t>
  </si>
  <si>
    <t>% w.r.t. total commute trips</t>
  </si>
  <si>
    <t>% w.r.t. total auto commute trips</t>
  </si>
  <si>
    <t>Trips/day</t>
  </si>
  <si>
    <t>Miles/day</t>
  </si>
  <si>
    <t>% miles</t>
  </si>
  <si>
    <t>To/From Work</t>
  </si>
  <si>
    <t>Family/Personal Errrands</t>
  </si>
  <si>
    <t>School/Church</t>
  </si>
  <si>
    <t>Other</t>
  </si>
  <si>
    <t>Other trip purpose includes trips for work-related business.</t>
  </si>
  <si>
    <t>Auto VMT</t>
  </si>
  <si>
    <t>Truck VMT</t>
  </si>
  <si>
    <t>Auto VHT</t>
  </si>
  <si>
    <t>Truck VHT</t>
  </si>
  <si>
    <t>Auto Delay</t>
  </si>
  <si>
    <t>Truck Delay</t>
  </si>
  <si>
    <t>Built</t>
  </si>
  <si>
    <t>Differences (daily)</t>
  </si>
  <si>
    <t>Auto-Occupancy for commuting trips in Baltimore MSA, 2015</t>
  </si>
  <si>
    <t>Fatalities</t>
  </si>
  <si>
    <t>Injured</t>
  </si>
  <si>
    <t>PDO</t>
  </si>
  <si>
    <t>Crashes</t>
  </si>
  <si>
    <t>Rates (per 100 million VMT)</t>
  </si>
  <si>
    <t>VMT (billion VMT)</t>
  </si>
  <si>
    <t>http://www.mva.maryland.gov/safety/_docs/StatewideBR-12Aug12-13.pdf</t>
  </si>
  <si>
    <t xml:space="preserve"> - Injury Rate</t>
  </si>
  <si>
    <t>Injury Rate</t>
  </si>
  <si>
    <t>Serious Injury Rate</t>
  </si>
  <si>
    <t>- Serious Injury Rate</t>
  </si>
  <si>
    <t>PDO rate</t>
  </si>
  <si>
    <t>Total Crash Rate</t>
  </si>
  <si>
    <t>Estimated by CS based on crash rates in Maryland over the 2009-2013 period. See Computations in "KABCO-AIS Conv Matrix" tab.</t>
  </si>
  <si>
    <t>NATIONAL ENVIRONMENTAL POLICY ACT AND INTERSTATE ACCESS POINT APPROVAL STUDY</t>
  </si>
  <si>
    <t>Start of Procurement</t>
  </si>
  <si>
    <t>Months</t>
  </si>
  <si>
    <t xml:space="preserve">Total (2015$) </t>
  </si>
  <si>
    <t xml:space="preserve">Source: Maryland Motor Vehicle Administration - Maryland Highway Safety Office </t>
  </si>
  <si>
    <t>http://www.mva.maryland.gov/safety/_docs/FFY2017MarylandHSP.pdf</t>
  </si>
  <si>
    <t>Daily Trip and Travel Rates per Person by Trip Purpose, U.S., 2009</t>
  </si>
  <si>
    <t>White St.</t>
  </si>
  <si>
    <t>Pink St.</t>
  </si>
  <si>
    <t>Teal St.</t>
  </si>
  <si>
    <t>Violet St.</t>
  </si>
  <si>
    <t>Gray St.</t>
  </si>
  <si>
    <t>Tan St.</t>
  </si>
  <si>
    <t>Hanover St.</t>
  </si>
  <si>
    <t>Burgundy St.</t>
  </si>
  <si>
    <t>Yellow St.</t>
  </si>
  <si>
    <t>Brown St.</t>
  </si>
  <si>
    <t>Andre St.</t>
  </si>
  <si>
    <t>EI</t>
  </si>
  <si>
    <t>CF =</t>
  </si>
  <si>
    <t>ms =</t>
  </si>
  <si>
    <t>MS =</t>
  </si>
  <si>
    <t>tt =</t>
  </si>
  <si>
    <t>TT =</t>
  </si>
  <si>
    <t>ts =</t>
  </si>
  <si>
    <t>TS =</t>
  </si>
  <si>
    <t>ur =</t>
  </si>
  <si>
    <t>UR =</t>
  </si>
  <si>
    <t>CI =</t>
  </si>
  <si>
    <t>tk =</t>
  </si>
  <si>
    <t>TK =</t>
  </si>
  <si>
    <t>P(A)</t>
  </si>
  <si>
    <t>Aff Veh x tt</t>
  </si>
  <si>
    <t>121-200</t>
  </si>
  <si>
    <t>201-300</t>
  </si>
  <si>
    <t>301-400</t>
  </si>
  <si>
    <t>401-500</t>
  </si>
  <si>
    <t>501-600</t>
  </si>
  <si>
    <t>601-700</t>
  </si>
  <si>
    <t>701-1000</t>
  </si>
  <si>
    <t>1001-1300</t>
  </si>
  <si>
    <t>1301-1600</t>
  </si>
  <si>
    <t>1601-2000</t>
  </si>
  <si>
    <t>2001-2500</t>
  </si>
  <si>
    <t>2501-3000</t>
  </si>
  <si>
    <t>3001-4000</t>
  </si>
  <si>
    <t>4001-6000</t>
  </si>
  <si>
    <t>6001-8000</t>
  </si>
  <si>
    <t>8001-10000</t>
  </si>
  <si>
    <t>10001-15000</t>
  </si>
  <si>
    <t>15001-20000</t>
  </si>
  <si>
    <t>20001-25000</t>
  </si>
  <si>
    <t>25001-30000</t>
  </si>
  <si>
    <t>30001-40000</t>
  </si>
  <si>
    <t>40001-50000</t>
  </si>
  <si>
    <t>50001-60000</t>
  </si>
  <si>
    <t>60001-70000</t>
  </si>
  <si>
    <t>70001-90000</t>
  </si>
  <si>
    <t>Existing P(A) data for Cromwell crossing</t>
  </si>
  <si>
    <t>P(F|A)</t>
  </si>
  <si>
    <t>P(I|A)</t>
  </si>
  <si>
    <t>P(PDO|A)</t>
  </si>
  <si>
    <t>Cross Streets - A (collision prediction)</t>
  </si>
  <si>
    <t>Cross Streets - Expected Cost of Collisions</t>
  </si>
  <si>
    <t>Hanover St at McComas St - NB</t>
  </si>
  <si>
    <t>Hanover St at McComas St - SB</t>
  </si>
  <si>
    <t>McComas St between Key Highway and Hanover St - EB</t>
  </si>
  <si>
    <t>McComas St between Key Highway and Hanover St - WB</t>
  </si>
  <si>
    <t>K-Factor</t>
  </si>
  <si>
    <t>Summary of Active Transport Benefits and Costs expected to accrue in Port Covington</t>
  </si>
  <si>
    <t>Increased Non-Motorized Travel Activity</t>
  </si>
  <si>
    <t>Fitness and health</t>
  </si>
  <si>
    <t>Improved public fitness and health</t>
  </si>
  <si>
    <t>Reduced Vehicle Travel</t>
  </si>
  <si>
    <t>Vehicle Cost Savings</t>
  </si>
  <si>
    <t>Consumer savings from reduced vehicle ownership and use</t>
  </si>
  <si>
    <t>Congestion Reduction</t>
  </si>
  <si>
    <t>Reduced traffic congestion from automobile travel on congested roadways</t>
  </si>
  <si>
    <t>Roadway Maintanance Cost Savings</t>
  </si>
  <si>
    <t>Reduced roadway construction, maintenance and operating costs</t>
  </si>
  <si>
    <t>Pollution Reduction</t>
  </si>
  <si>
    <t>Economic and environmental benefits from reduced air pollution</t>
  </si>
  <si>
    <t>Adapted from Litman (2016) Evaluating Transport Benefits and Costs: Guide to Valuing Walking and Cycling Improvements and Encouragment Programs</t>
  </si>
  <si>
    <t>Available at: http://www.vtpi.org/nmt-tdm.pdf</t>
  </si>
  <si>
    <t>Walking</t>
  </si>
  <si>
    <t>Cycling</t>
  </si>
  <si>
    <t>Private Motor</t>
  </si>
  <si>
    <t>miles</t>
  </si>
  <si>
    <t>PM Peak</t>
  </si>
  <si>
    <t>Miles Walked</t>
  </si>
  <si>
    <t>Health Benefits</t>
  </si>
  <si>
    <t>SoGR</t>
  </si>
  <si>
    <t>-</t>
  </si>
  <si>
    <t>Maintainance Cost McComas Ramp</t>
  </si>
  <si>
    <t>No-build</t>
  </si>
  <si>
    <t>Source: MDTA</t>
  </si>
  <si>
    <t>Benefit-Cost Assessment Spreadsheet for Access I-95: Driving Baltimore's City Development</t>
  </si>
  <si>
    <t>HANOVER STREET NORTH OF MCCOMAS STREET</t>
  </si>
  <si>
    <t>MCCOMAS STREET FROM HANOVER STREET TO KEY HIGHWAY</t>
  </si>
  <si>
    <t>MCCOMAS STREET AT KEY HIGHWAY INTERSECTION</t>
  </si>
  <si>
    <t>I-95 SB OFF RAMP TO KEY HIGHWAY</t>
  </si>
  <si>
    <t>I-95 SB OFF RAMP TO MCCOMAS STREET</t>
  </si>
  <si>
    <t>MCCOMAS STREET ON RAMP TO I-95 SB</t>
  </si>
  <si>
    <t>CSX TRACK RELOCATION</t>
  </si>
  <si>
    <t>Duration (months)</t>
  </si>
  <si>
    <t>Project Element</t>
  </si>
  <si>
    <t>Health Benefits Associated with Walking Trips from Improved Pedestrian Facilities</t>
  </si>
  <si>
    <t>AM Peak</t>
  </si>
  <si>
    <t>Daily
(PM Peak/K-Factor)</t>
  </si>
  <si>
    <t>Average Occupancy</t>
  </si>
  <si>
    <t>Health Benefits Assumptions</t>
  </si>
  <si>
    <t>Share of walking trips w.r.t. auto trips (Urban Walkable)</t>
  </si>
  <si>
    <t>Average Distance Walking Trip</t>
  </si>
  <si>
    <t>American Community Survey 2009 - Average of 10 U.S. cities with higher walking mode share</t>
  </si>
  <si>
    <t>Litman, T (2016) Evaluating Active Transport Benefits and Costs.</t>
  </si>
  <si>
    <t>Fitness and Health Benefits (Increased Walking)</t>
  </si>
  <si>
    <t>$/mile</t>
  </si>
  <si>
    <t>Estimated Auto Passenger Trips (Project Site)</t>
  </si>
  <si>
    <t>Estimated Walking Trips (Project Site)</t>
  </si>
  <si>
    <t>External Congestion Costs (Urban Peak)</t>
  </si>
  <si>
    <t>External Congestion Costs (Urban Off-Peak)</t>
  </si>
  <si>
    <t>Hours of Peak Traffic</t>
  </si>
  <si>
    <t>hours</t>
  </si>
  <si>
    <t>% of Peak Traffic Hours</t>
  </si>
  <si>
    <t>Congestion Alleviation</t>
  </si>
  <si>
    <t>Traffic Volumes in Key Intersections in Port Covington Site</t>
  </si>
  <si>
    <t>Cross Streets - Vehicles per day</t>
  </si>
  <si>
    <t>Calculations based on methodolody detailed in http://safety.fhwa.dot.gov/xings/com_roaduser/07010/sec03.htm</t>
  </si>
  <si>
    <t>Collisions</t>
  </si>
  <si>
    <t>P(FA|A) Values</t>
  </si>
  <si>
    <t>P(IA|A) Values</t>
  </si>
  <si>
    <t>Monetary Value of Health Benefits (in 2015$)</t>
  </si>
  <si>
    <t>Benefits of Avioded Auto Trips as a result of induced Walking Trips</t>
  </si>
  <si>
    <t>Monetary Value of Congestion Alleviation (in 2015$)</t>
  </si>
  <si>
    <t>Monetary Value of SoGR Savings (in 2015$)</t>
  </si>
  <si>
    <t>Monetary Value of Rail Relocation (in 2015$)</t>
  </si>
  <si>
    <t>Table 8. Safety Benefits of Rail Relocation</t>
  </si>
  <si>
    <t>Table 9. Avoided Mantainance Costs</t>
  </si>
  <si>
    <t>C. Quality of Life</t>
  </si>
  <si>
    <t>Grand Total (in 2015$)</t>
  </si>
  <si>
    <t>Health Benefits from Walking Trips</t>
  </si>
  <si>
    <t>Avoided Auto Trips from Walking Trips</t>
  </si>
  <si>
    <t xml:space="preserve">The Benefit Cost (B/C) spreadsheet is presented in several tabs in order to make the assumptions used for the estimation of costs and benefits clearer.  Below follows a brief description of the main tabs. </t>
  </si>
  <si>
    <t>Same as above, but a discount factor of 7 percent.</t>
  </si>
  <si>
    <t>This tab provides an overview of the total capital costs of the project.  Costs are not discounted.</t>
  </si>
  <si>
    <t>This tab provides a summary of the project benefits, with more detail than the values in the Benefit-Cost Analysis 3%/7% tabs.  Key sections include:</t>
  </si>
  <si>
    <t>(1) Travel Time Cost Benefits, Vehicle Operating Cost Benefits, Emission Damage Cost Benefits, State of Good Repair Benefits, and Motor Vehicle Crash Cost Benefits, Rail Relocation Benefits, Health Benefits and Mode Diversion Benefits Associated with Walking.</t>
  </si>
  <si>
    <t>(2) For each benefit category (state of good repair, economic competitiveness, quality of life, sustainability, safety), undiscounted and corresponding discounted benefits are also calculated.</t>
  </si>
  <si>
    <t>This tab shows all of the rates and assumptions that are used in the benefit/cost analysis, taken from well-known sources. The general categories used to classify each of the rates are:</t>
  </si>
  <si>
    <t>%</t>
  </si>
  <si>
    <t>(7) Health Benefits Assumption</t>
  </si>
  <si>
    <t>Avoided Maintenance Costs</t>
  </si>
  <si>
    <t>Vehicle Operating Cost Saving</t>
  </si>
  <si>
    <t>Avoided Social Cost of Carbon Emissions</t>
  </si>
  <si>
    <t>Avoided Non-Carbon Emission Costs</t>
  </si>
  <si>
    <t>Rail Relocation (Avoided Collisions)</t>
  </si>
  <si>
    <t>Table 1.  Travel Time Savings</t>
  </si>
  <si>
    <t>CS Estimation based on the CAGR of CO2 Emission Damage between 2015 and 2040.</t>
  </si>
  <si>
    <t xml:space="preserve"> - CO2 Emissions Damage Cost (3% SCC)</t>
  </si>
  <si>
    <t>Assumed VMT and VHT growth rate after year 2040</t>
  </si>
  <si>
    <t>Table 2. Avoided Vehicle Operating Cost (VOC)</t>
  </si>
  <si>
    <t>Table 3. Avoided Social Cost of CO2 Emissions (SCC)</t>
  </si>
  <si>
    <t>Table 4. Avoided Non-Carbon Emissions Costs</t>
  </si>
  <si>
    <t xml:space="preserve">Table 7. Health Benefits from Increase in Walk Mode Share </t>
  </si>
  <si>
    <t>Table 8.  Benefits of Avioded Auto Trips as a result of Increase in Walk Mode Share</t>
  </si>
  <si>
    <t>Description: Project will improve pedestrian accesibility to the area (currently non-existing in several streets in the project site), which is assumed to achieve a walk mode share relative to auto mode share as the average in 10 U.S. cities.</t>
  </si>
  <si>
    <t>Description: An increase in walk mode share will avoid additional auto trips, which would generate more congestion in the project site, as well as emissions and additional vehicle operating costs.</t>
  </si>
  <si>
    <t>Using methodolody detailed in http://safety.fhwa.dot.gov/xings/com_roaduser/07010/sec03.htm and based on GradeDEC.</t>
  </si>
  <si>
    <t>Legend</t>
  </si>
  <si>
    <t>ms</t>
  </si>
  <si>
    <t>tt</t>
  </si>
  <si>
    <t>ts</t>
  </si>
  <si>
    <t>ur</t>
  </si>
  <si>
    <t>tk</t>
  </si>
  <si>
    <t>CF</t>
  </si>
  <si>
    <t>Exposure Index Factor</t>
  </si>
  <si>
    <t>Maximum timetable speed, mph</t>
  </si>
  <si>
    <t>Thorugh trains per day</t>
  </si>
  <si>
    <t>Switch trains per day</t>
  </si>
  <si>
    <t>Urban or Rural Crossing (Urban=1)</t>
  </si>
  <si>
    <t>Number of tracks</t>
  </si>
  <si>
    <t>Formula Constant</t>
  </si>
  <si>
    <t>Max Aff Veh x tt</t>
  </si>
  <si>
    <t>Truck Share in the Project Area</t>
  </si>
  <si>
    <t>Annual Passenger Trips - Auto Commute (ADT x AVO x Annualization x AutoShare)</t>
  </si>
  <si>
    <t>Annual Passenger Trips - Auto Leisure (ADT x AVO x Annualization x AutoShare)</t>
  </si>
  <si>
    <t>Intersection</t>
  </si>
  <si>
    <t>Metric</t>
  </si>
  <si>
    <t>VehType</t>
  </si>
  <si>
    <t>Existing 2012 AM</t>
  </si>
  <si>
    <t>Existing 2012 PM</t>
  </si>
  <si>
    <t>NoBuild 2040 AM</t>
  </si>
  <si>
    <t>NoBuild 2040PM</t>
  </si>
  <si>
    <t>VMT (veh. miles)</t>
  </si>
  <si>
    <t>Autos</t>
  </si>
  <si>
    <t>Bus</t>
  </si>
  <si>
    <t>All</t>
  </si>
  <si>
    <t>VHT (veh. hours)</t>
  </si>
  <si>
    <t>Avg Harm. Speed (mph)</t>
  </si>
  <si>
    <t>VHDelay (veh. hours)</t>
  </si>
  <si>
    <t>Delay Share (%)</t>
  </si>
  <si>
    <t>Latent Delay (veh.hours)</t>
  </si>
  <si>
    <t>Latent / VHD Ratio</t>
  </si>
  <si>
    <t>Vehicles EnRoute (veh)</t>
  </si>
  <si>
    <t>Vehicles Arrived (veh)</t>
  </si>
  <si>
    <t>Vehicles Latent (veh)</t>
  </si>
  <si>
    <t>Baltimore</t>
  </si>
  <si>
    <t>Walking and Cycling Commuting Mode share in Baltimore City (2015 ACS)</t>
  </si>
  <si>
    <t>Source: American Community Survey. 2015.</t>
  </si>
  <si>
    <t>AM Congested Hours</t>
  </si>
  <si>
    <t>PM Congested Hours</t>
  </si>
  <si>
    <t>Existing 2012
Congested Hours</t>
  </si>
  <si>
    <t>NoBuild 2040 Congested Hours</t>
  </si>
  <si>
    <t>Build 2040 Congested Hours</t>
  </si>
  <si>
    <t>Delay Reduction (Moderate impact)</t>
  </si>
  <si>
    <t xml:space="preserve">Changes in Delay (in hours) = Delay Build - Delay No Build </t>
  </si>
  <si>
    <t>Fuel Consumption at Idle for Selected Gasoline and Diesel Vehicles</t>
  </si>
  <si>
    <t>Vehicle Type</t>
  </si>
  <si>
    <t>Fuel Type</t>
  </si>
  <si>
    <t>Engine Size</t>
  </si>
  <si>
    <t>Delivery Truck</t>
  </si>
  <si>
    <t>Tractor-Semitrailer</t>
  </si>
  <si>
    <t>Passgenger Car</t>
  </si>
  <si>
    <t>Class</t>
  </si>
  <si>
    <t>GVWR</t>
  </si>
  <si>
    <t>4.6</t>
  </si>
  <si>
    <t>Average - Passenger Car</t>
  </si>
  <si>
    <t>Average - Truck</t>
  </si>
  <si>
    <t>No Load (gal/h)</t>
  </si>
  <si>
    <t>With Load (gal/h)</t>
  </si>
  <si>
    <t>Average Load/No-Load</t>
  </si>
  <si>
    <t>- Idling Cost for Autos</t>
  </si>
  <si>
    <t>- Idling Cost for Trucks</t>
  </si>
  <si>
    <t>Gasoline Costs</t>
  </si>
  <si>
    <t>Diesel Costs</t>
  </si>
  <si>
    <t>Source: U.S Energy Information Administration</t>
  </si>
  <si>
    <t>Motor Gasoline and Diesel Fuel Prices (in 2015 $)</t>
  </si>
  <si>
    <t>Total Delay Change</t>
  </si>
  <si>
    <t>Auto Idling Cost Savings ($ 2015)</t>
  </si>
  <si>
    <t>Truck Idling Cost Savings ($ 2015)</t>
  </si>
  <si>
    <t>Total Vehicle Indling Cost Savings ($ 2015)</t>
  </si>
  <si>
    <t>Table 1: Average Idle Emission Rates (g/hr) by Pollutant and Vehicle Type</t>
  </si>
  <si>
    <t>Gasoline Carbon Content per Gallon</t>
  </si>
  <si>
    <t>Diesel Carbon Content per Gallon</t>
  </si>
  <si>
    <t>grams</t>
  </si>
  <si>
    <t>Source: EPA (2005) Emission Facts. Office of Transportation and Air Quality.</t>
  </si>
  <si>
    <t>Changes in Emission Costs (VOC) as a Result of Changes in Delay (idling)</t>
  </si>
  <si>
    <t>VOC Savings from Change in Delay (idling)</t>
  </si>
  <si>
    <t>CO2 Savings from Change in Delay (idling)</t>
  </si>
  <si>
    <t>NOX Savings from Change in Delay (idling)</t>
  </si>
  <si>
    <t>PM Savings from Change in Delay (idling)</t>
  </si>
  <si>
    <t>Truck Share (2040)</t>
  </si>
  <si>
    <t>Truck Share (2012)</t>
  </si>
  <si>
    <t>Speed</t>
  </si>
  <si>
    <t>Auto</t>
  </si>
  <si>
    <t>Auto Speed</t>
  </si>
  <si>
    <t>Truck Speed</t>
  </si>
  <si>
    <t>Emission Rates - Auto</t>
  </si>
  <si>
    <t>* Capital costs distribution based on the number of construction months for each year.</t>
  </si>
  <si>
    <t>Gallons of fuel when Idling / hour</t>
  </si>
  <si>
    <t>Changes in Vehicle Operating Cost (VOC) - Fuel Costs when idling</t>
  </si>
  <si>
    <t>Maryland Crash Rates by type of road and estimation of fatality, injury, and PDO rates by type of road</t>
  </si>
  <si>
    <t>2016 FASTLANE BENEFIT-COST ANALYIS (BCA) RESOURCE GUIDE</t>
  </si>
  <si>
    <t>Source: Travel Demand Model</t>
  </si>
  <si>
    <t>http://energy.gov/eere/vehicles/fact-861-february-23-2015-idle-fuel-consumption-selected-gasoline-and-diesel-vehicles</t>
  </si>
  <si>
    <t>Idling Cost Savings ($ 2015)</t>
  </si>
  <si>
    <t>NPV of Vehicle Operating Cost Saved</t>
  </si>
  <si>
    <t>Vehicle Miles Diverted</t>
  </si>
  <si>
    <t>Monetary Value of Vehicle Operating Cost Savings (in 2015$)</t>
  </si>
  <si>
    <t>Monetary Value of Non-Carbon Emissions Avoided (in 2015$)</t>
  </si>
  <si>
    <t>Vehicle Operating Costs</t>
  </si>
  <si>
    <t>Volatile Organic Compounds</t>
  </si>
  <si>
    <t>NPV of SCC Emission Avoided</t>
  </si>
  <si>
    <t xml:space="preserve"> CO2 Emissions Avoided Cost – Reduction in Vehicle Delay (3% SCC) (in 2015$)</t>
  </si>
  <si>
    <t xml:space="preserve"> CO2 Emissions Avoided Cost –Increased Walk Mode Share (3% SCC) (in 2015$)</t>
  </si>
  <si>
    <t xml:space="preserve"> VOC Emissions Avoided Cost </t>
  </si>
  <si>
    <t xml:space="preserve"> NOx Emissions Avoided Cost </t>
  </si>
  <si>
    <t xml:space="preserve">PM Emissions Avoided Cost </t>
  </si>
  <si>
    <t>Monetary Value of Avoided Maintenance (in 2015$)</t>
  </si>
  <si>
    <t>NPV of Avoided Maintenance Costs</t>
  </si>
  <si>
    <t>NPV of Health Benefits</t>
  </si>
  <si>
    <t>NPV of Auto Trip Diversion Benefits</t>
  </si>
  <si>
    <t>Change in Travel Delay in Hours (Build - No-build)</t>
  </si>
  <si>
    <t>NPV of Rail Relocation Benefits</t>
  </si>
  <si>
    <t>Source: Regional Travel Demand Model and TIERS Off-Model tool User Guide (developed by CS).</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</si>
</sst>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5" formatCode="&quot;$&quot;#,##0_);\(&quot;$&quot;#,##0\)"/>
    <numFmt numFmtId="6" formatCode="&quot;$&quot;#,##0_);[Red]\(&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0.0"/>
    <numFmt numFmtId="165" formatCode="0.000"/>
    <numFmt numFmtId="166" formatCode="_(* #,##0_);_(* \(#,##0\);_(* &quot;-&quot;??_);_(@_)"/>
    <numFmt numFmtId="167" formatCode="_(* #,##0.0_);_(* \(#,##0.0\);_(* &quot;-&quot;??_);_(@_)"/>
    <numFmt numFmtId="168" formatCode="0.0%"/>
    <numFmt numFmtId="169" formatCode="_(* #,##0.000_);_(* \(#,##0.000\);_(* &quot;-&quot;??_);_(@_)"/>
    <numFmt numFmtId="170" formatCode="&quot;$&quot;#,##0"/>
    <numFmt numFmtId="171" formatCode="#,##0.000"/>
    <numFmt numFmtId="172" formatCode="#,##0.0"/>
    <numFmt numFmtId="173" formatCode="0.00000"/>
    <numFmt numFmtId="174" formatCode="_(* #,##0.00000_);_(* \(#,##0.00000\);_(* &quot;-&quot;??_);_(@_)"/>
    <numFmt numFmtId="175" formatCode="#0.0"/>
    <numFmt numFmtId="176" formatCode="#0.000"/>
    <numFmt numFmtId="177" formatCode="0.000%"/>
    <numFmt numFmtId="178" formatCode="0.0000"/>
    <numFmt numFmtId="179" formatCode="_(* #,##0.0000_);_(* \(#,##0.0000\);_(* &quot;-&quot;??_);_(@_)"/>
    <numFmt numFmtId="180" formatCode="#,##0.000_);\(#,##0.000\)"/>
    <numFmt numFmtId="181" formatCode="_(&quot;$&quot;* #,##0.0_);_(&quot;$&quot;* \(#,##0.0\);_(&quot;$&quot;* &quot;-&quot;??_);_(@_)"/>
    <numFmt numFmtId="182" formatCode="&quot;$&quot;#,##0.000"/>
    <numFmt numFmtId="183" formatCode="_(&quot;$&quot;* #,##0.0000_);_(&quot;$&quot;* \(#,##0.0000\);_(&quot;$&quot;* &quot;-&quot;??_);_(@_)"/>
    <numFmt numFmtId="184" formatCode="&quot;$&quot;#,##0.0000_);\(&quot;$&quot;#,##0.0000\)"/>
    <numFmt numFmtId="185" formatCode="_(* #,##0.0000_);_(* \(#,##0.0000\);_(* &quot;-&quot;????_);_(@_)"/>
    <numFmt numFmtId="186" formatCode="0.0000000000%"/>
    <numFmt numFmtId="187" formatCode="_(&quot;$&quot;* #,##0_);_(&quot;$&quot;* \(#,##0\);_(&quot;$&quot;* &quot;-&quot;??_);_(@_)"/>
    <numFmt numFmtId="188" formatCode="&quot;$&quot;#,##0.00"/>
    <numFmt numFmtId="189" formatCode="[$-409]d\-mmm\-yy;@"/>
  </numFmts>
  <fonts count="65" x14ac:knownFonts="1">
    <font>
      <sz val="11"/>
      <color theme="1"/>
      <name val="Calibri"/>
      <family val="2"/>
      <scheme val="minor"/>
    </font>
    <font>
      <sz val="11"/>
      <color theme="1"/>
      <name val="Calibri"/>
      <family val="2"/>
      <scheme val="minor"/>
    </font>
    <font>
      <sz val="10"/>
      <name val="Arial"/>
      <family val="2"/>
    </font>
    <font>
      <sz val="10"/>
      <name val="Arial"/>
      <family val="2"/>
    </font>
    <font>
      <sz val="10"/>
      <color rgb="FF9C0006"/>
      <name val="Calibri"/>
      <family val="2"/>
      <scheme val="minor"/>
    </font>
    <font>
      <sz val="10"/>
      <color theme="1"/>
      <name val="Arial"/>
      <family val="2"/>
    </font>
    <font>
      <sz val="10"/>
      <color rgb="FF3F3F76"/>
      <name val="Calibri"/>
      <family val="2"/>
      <scheme val="minor"/>
    </font>
    <font>
      <b/>
      <u/>
      <sz val="14"/>
      <color theme="1"/>
      <name val="Arial"/>
      <family val="2"/>
    </font>
    <font>
      <b/>
      <sz val="12"/>
      <color theme="1"/>
      <name val="Arial"/>
      <family val="2"/>
    </font>
    <font>
      <b/>
      <sz val="10"/>
      <color theme="1"/>
      <name val="Arial"/>
      <family val="2"/>
    </font>
    <font>
      <sz val="12"/>
      <color theme="1"/>
      <name val="Calibri"/>
      <family val="2"/>
      <scheme val="minor"/>
    </font>
    <font>
      <sz val="12"/>
      <name val="Times New Roman"/>
      <family val="1"/>
    </font>
    <font>
      <b/>
      <sz val="10"/>
      <color rgb="FFFF0000"/>
      <name val="Arial"/>
      <family val="2"/>
    </font>
    <font>
      <b/>
      <sz val="14"/>
      <color theme="1"/>
      <name val="Arial"/>
      <family val="2"/>
    </font>
    <font>
      <b/>
      <sz val="10"/>
      <name val="Arial"/>
      <family val="2"/>
    </font>
    <font>
      <b/>
      <u/>
      <sz val="14"/>
      <name val="Arial"/>
      <family val="2"/>
    </font>
    <font>
      <b/>
      <sz val="10"/>
      <color indexed="8"/>
      <name val="Arial"/>
      <family val="2"/>
    </font>
    <font>
      <b/>
      <u/>
      <sz val="10"/>
      <color theme="1"/>
      <name val="Arial"/>
      <family val="2"/>
    </font>
    <font>
      <u/>
      <sz val="10"/>
      <color theme="1"/>
      <name val="Arial"/>
      <family val="2"/>
    </font>
    <font>
      <b/>
      <i/>
      <sz val="10"/>
      <color theme="1"/>
      <name val="Arial"/>
      <family val="2"/>
    </font>
    <font>
      <b/>
      <i/>
      <sz val="10"/>
      <name val="Arial"/>
      <family val="2"/>
    </font>
    <font>
      <b/>
      <u/>
      <sz val="20"/>
      <color theme="1"/>
      <name val="Arial"/>
      <family val="2"/>
    </font>
    <font>
      <b/>
      <sz val="11"/>
      <color theme="1"/>
      <name val="Arial"/>
      <family val="2"/>
    </font>
    <font>
      <b/>
      <sz val="11"/>
      <color theme="0"/>
      <name val="Calibri"/>
      <family val="2"/>
      <scheme val="minor"/>
    </font>
    <font>
      <b/>
      <sz val="11"/>
      <color theme="1"/>
      <name val="Calibri"/>
      <family val="2"/>
      <scheme val="minor"/>
    </font>
    <font>
      <b/>
      <sz val="12"/>
      <color indexed="8"/>
      <name val="Arial"/>
      <family val="2"/>
    </font>
    <font>
      <sz val="10"/>
      <color indexed="8"/>
      <name val="Arial"/>
      <family val="2"/>
    </font>
    <font>
      <sz val="11"/>
      <color indexed="8"/>
      <name val="Calibri"/>
      <family val="2"/>
      <scheme val="minor"/>
    </font>
    <font>
      <b/>
      <sz val="11"/>
      <color indexed="8"/>
      <name val="Calibri"/>
      <family val="2"/>
      <scheme val="minor"/>
    </font>
    <font>
      <b/>
      <sz val="11"/>
      <color theme="3"/>
      <name val="Arial"/>
      <family val="2"/>
    </font>
    <font>
      <vertAlign val="subscript"/>
      <sz val="10"/>
      <color theme="1"/>
      <name val="Calibri"/>
      <family val="2"/>
      <scheme val="minor"/>
    </font>
    <font>
      <vertAlign val="subscript"/>
      <sz val="11"/>
      <color theme="1"/>
      <name val="Calibri"/>
      <family val="2"/>
      <scheme val="minor"/>
    </font>
    <font>
      <i/>
      <sz val="11"/>
      <color theme="1"/>
      <name val="Calibri"/>
      <family val="2"/>
      <scheme val="minor"/>
    </font>
    <font>
      <b/>
      <sz val="10"/>
      <color theme="3"/>
      <name val="Arial"/>
      <family val="2"/>
    </font>
    <font>
      <b/>
      <sz val="11"/>
      <name val="Calibri"/>
      <family val="2"/>
      <scheme val="minor"/>
    </font>
    <font>
      <b/>
      <vertAlign val="subscript"/>
      <sz val="10"/>
      <color theme="1"/>
      <name val="Arial"/>
      <family val="2"/>
    </font>
    <font>
      <b/>
      <u/>
      <sz val="10"/>
      <name val="Arial"/>
      <family val="2"/>
    </font>
    <font>
      <b/>
      <sz val="14"/>
      <color theme="4" tint="-0.499984740745262"/>
      <name val="Calibri"/>
      <family val="2"/>
      <scheme val="minor"/>
    </font>
    <font>
      <b/>
      <sz val="14"/>
      <color theme="1"/>
      <name val="Calibri"/>
      <family val="2"/>
      <scheme val="minor"/>
    </font>
    <font>
      <sz val="11"/>
      <name val="Calibri"/>
      <family val="2"/>
      <scheme val="minor"/>
    </font>
    <font>
      <b/>
      <sz val="10"/>
      <color theme="1"/>
      <name val="Calibri"/>
      <family val="2"/>
      <scheme val="minor"/>
    </font>
    <font>
      <b/>
      <sz val="14"/>
      <color theme="3"/>
      <name val="Calibri"/>
      <family val="2"/>
      <scheme val="minor"/>
    </font>
    <font>
      <u/>
      <sz val="11"/>
      <color theme="10"/>
      <name val="Calibri"/>
      <family val="2"/>
      <scheme val="minor"/>
    </font>
    <font>
      <sz val="10"/>
      <color theme="1"/>
      <name val="Calibri"/>
      <family val="2"/>
      <scheme val="minor"/>
    </font>
    <font>
      <sz val="9"/>
      <color theme="1"/>
      <name val="Calibri"/>
      <family val="2"/>
      <scheme val="minor"/>
    </font>
    <font>
      <b/>
      <sz val="10"/>
      <name val="Calibri"/>
      <family val="2"/>
      <scheme val="minor"/>
    </font>
    <font>
      <b/>
      <sz val="12"/>
      <color rgb="FF0070C0"/>
      <name val="Calibri"/>
      <family val="2"/>
      <scheme val="minor"/>
    </font>
    <font>
      <b/>
      <sz val="12"/>
      <color theme="1"/>
      <name val="Calibri"/>
      <family val="2"/>
      <scheme val="minor"/>
    </font>
    <font>
      <b/>
      <sz val="18"/>
      <color theme="0"/>
      <name val="Calibri"/>
      <family val="2"/>
      <scheme val="minor"/>
    </font>
    <font>
      <b/>
      <sz val="16"/>
      <color theme="1"/>
      <name val="Calibri"/>
      <family val="2"/>
      <scheme val="minor"/>
    </font>
    <font>
      <b/>
      <sz val="12"/>
      <name val="Calibri"/>
      <family val="2"/>
      <scheme val="minor"/>
    </font>
    <font>
      <b/>
      <sz val="10"/>
      <color rgb="FF000000"/>
      <name val="Calibri"/>
      <family val="2"/>
      <scheme val="minor"/>
    </font>
    <font>
      <sz val="10"/>
      <color rgb="FF000000"/>
      <name val="Calibri"/>
      <family val="2"/>
      <scheme val="minor"/>
    </font>
    <font>
      <sz val="14"/>
      <color theme="1"/>
      <name val="Calibri"/>
      <family val="2"/>
      <scheme val="minor"/>
    </font>
    <font>
      <sz val="11"/>
      <color theme="1"/>
      <name val="Arial"/>
      <family val="2"/>
    </font>
    <font>
      <b/>
      <sz val="9"/>
      <color rgb="FF0070C0"/>
      <name val="Book Antiqua"/>
      <family val="1"/>
    </font>
    <font>
      <sz val="9"/>
      <color theme="1"/>
      <name val="Book Antiqua"/>
      <family val="1"/>
    </font>
    <font>
      <b/>
      <sz val="9"/>
      <color theme="1"/>
      <name val="Book Antiqua"/>
      <family val="1"/>
    </font>
    <font>
      <b/>
      <sz val="9"/>
      <color rgb="FF000000"/>
      <name val="Book Antiqua"/>
      <family val="1"/>
    </font>
    <font>
      <b/>
      <sz val="10"/>
      <color theme="1"/>
      <name val="Gulim"/>
      <family val="2"/>
    </font>
    <font>
      <b/>
      <u/>
      <sz val="14"/>
      <color theme="1"/>
      <name val="Calibri"/>
      <family val="2"/>
      <scheme val="minor"/>
    </font>
    <font>
      <b/>
      <sz val="11"/>
      <color rgb="FF000000"/>
      <name val="Calibri"/>
      <family val="2"/>
      <scheme val="minor"/>
    </font>
    <font>
      <b/>
      <sz val="12"/>
      <color rgb="FF000000"/>
      <name val="Calibri"/>
      <family val="2"/>
      <scheme val="minor"/>
    </font>
    <font>
      <b/>
      <sz val="12"/>
      <color theme="0"/>
      <name val="Calibri"/>
      <family val="2"/>
      <scheme val="minor"/>
    </font>
    <font>
      <u/>
      <sz val="10"/>
      <color theme="1"/>
      <name val="Calibri"/>
      <family val="2"/>
      <scheme val="minor"/>
    </font>
  </fonts>
  <fills count="38">
    <fill>
      <patternFill patternType="none"/>
    </fill>
    <fill>
      <patternFill patternType="gray125"/>
    </fill>
    <fill>
      <patternFill patternType="solid">
        <fgColor theme="6"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rgb="FFFFC7CE"/>
      </patternFill>
    </fill>
    <fill>
      <patternFill patternType="solid">
        <fgColor rgb="FFFFCC99"/>
      </patternFill>
    </fill>
    <fill>
      <patternFill patternType="solid">
        <fgColor rgb="FFFFFF00"/>
        <bgColor indexed="64"/>
      </patternFill>
    </fill>
    <fill>
      <patternFill patternType="solid">
        <fgColor rgb="FFFFFFCC"/>
      </patternFill>
    </fill>
    <fill>
      <patternFill patternType="solid">
        <fgColor theme="2" tint="-9.9978637043366805E-2"/>
        <bgColor indexed="64"/>
      </patternFill>
    </fill>
    <fill>
      <patternFill patternType="solid">
        <fgColor theme="4" tint="-0.499984740745262"/>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1" tint="4.9989318521683403E-2"/>
        <bgColor indexed="64"/>
      </patternFill>
    </fill>
    <fill>
      <patternFill patternType="solid">
        <fgColor rgb="FFBFBFBF"/>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rgb="FFFF000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D8E4BC"/>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right/>
      <top/>
      <bottom style="thick">
        <color auto="1"/>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style="medium">
        <color indexed="64"/>
      </right>
      <top style="thin">
        <color indexed="64"/>
      </top>
      <bottom/>
      <diagonal/>
    </border>
  </borders>
  <cellStyleXfs count="112">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4" fontId="2"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0" fontId="1" fillId="0" borderId="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13" borderId="0" applyNumberFormat="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0" fontId="6" fillId="14" borderId="2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5" fillId="0" borderId="0"/>
    <xf numFmtId="0" fontId="1" fillId="0" borderId="0"/>
    <xf numFmtId="0" fontId="1"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0" fontId="10" fillId="0" borderId="0"/>
    <xf numFmtId="43" fontId="10" fillId="0" borderId="0" applyFont="0" applyFill="0" applyBorder="0" applyAlignment="0" applyProtection="0"/>
    <xf numFmtId="0" fontId="11" fillId="0" borderId="0"/>
    <xf numFmtId="0" fontId="2" fillId="0" borderId="0"/>
    <xf numFmtId="41"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16" borderId="30"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2" fillId="0" borderId="0" applyNumberFormat="0" applyFill="0" applyBorder="0" applyAlignment="0" applyProtection="0"/>
  </cellStyleXfs>
  <cellXfs count="1402">
    <xf numFmtId="0" fontId="0" fillId="0" borderId="0" xfId="0"/>
    <xf numFmtId="0" fontId="5" fillId="0" borderId="0" xfId="0" applyFont="1" applyAlignment="1">
      <alignment vertical="top"/>
    </xf>
    <xf numFmtId="0" fontId="7" fillId="0" borderId="0" xfId="0" applyFont="1" applyAlignment="1">
      <alignment vertical="top"/>
    </xf>
    <xf numFmtId="0" fontId="8" fillId="10" borderId="18" xfId="0" applyFont="1" applyFill="1" applyBorder="1" applyAlignment="1">
      <alignment horizontal="center" vertical="top"/>
    </xf>
    <xf numFmtId="0" fontId="8" fillId="10" borderId="19" xfId="0" applyFont="1" applyFill="1" applyBorder="1" applyAlignment="1">
      <alignment horizontal="center" vertical="top"/>
    </xf>
    <xf numFmtId="0" fontId="8" fillId="10" borderId="20" xfId="0" applyFont="1" applyFill="1" applyBorder="1" applyAlignment="1">
      <alignment horizontal="center" vertical="top"/>
    </xf>
    <xf numFmtId="0" fontId="9" fillId="10" borderId="19" xfId="0" applyFont="1" applyFill="1" applyBorder="1" applyAlignment="1">
      <alignment horizontal="center" vertical="top"/>
    </xf>
    <xf numFmtId="0" fontId="9" fillId="0" borderId="0" xfId="0" applyFont="1" applyAlignment="1">
      <alignment vertical="top"/>
    </xf>
    <xf numFmtId="0" fontId="8" fillId="8" borderId="18" xfId="0" applyFont="1" applyFill="1" applyBorder="1" applyAlignment="1">
      <alignment vertical="top"/>
    </xf>
    <xf numFmtId="0" fontId="5" fillId="8" borderId="19" xfId="0" applyFont="1" applyFill="1" applyBorder="1" applyAlignment="1">
      <alignment vertical="top"/>
    </xf>
    <xf numFmtId="0" fontId="5" fillId="2" borderId="0" xfId="0" applyFont="1" applyFill="1" applyBorder="1" applyAlignment="1">
      <alignment vertical="top"/>
    </xf>
    <xf numFmtId="0" fontId="9" fillId="2" borderId="11" xfId="0" applyFont="1" applyFill="1" applyBorder="1" applyAlignment="1">
      <alignment vertical="top"/>
    </xf>
    <xf numFmtId="0" fontId="9" fillId="2" borderId="0" xfId="0" applyFont="1" applyFill="1" applyBorder="1" applyAlignment="1">
      <alignment vertical="top"/>
    </xf>
    <xf numFmtId="0" fontId="9" fillId="2" borderId="15" xfId="0" applyFont="1" applyFill="1" applyBorder="1" applyAlignment="1">
      <alignment vertical="top"/>
    </xf>
    <xf numFmtId="0" fontId="5" fillId="0" borderId="0" xfId="0" applyFont="1" applyFill="1" applyBorder="1" applyAlignment="1">
      <alignment vertical="top"/>
    </xf>
    <xf numFmtId="0" fontId="9" fillId="2" borderId="11" xfId="0" applyFont="1" applyFill="1" applyBorder="1" applyAlignment="1">
      <alignment vertical="top" wrapText="1"/>
    </xf>
    <xf numFmtId="0" fontId="2" fillId="0" borderId="0" xfId="14" applyFont="1" applyAlignment="1">
      <alignment vertical="top"/>
    </xf>
    <xf numFmtId="0" fontId="5" fillId="0" borderId="0" xfId="74" applyFont="1" applyAlignment="1">
      <alignment vertical="top"/>
    </xf>
    <xf numFmtId="0" fontId="2" fillId="0" borderId="0" xfId="14" applyFont="1" applyAlignment="1">
      <alignment vertical="top" wrapText="1"/>
    </xf>
    <xf numFmtId="0" fontId="2" fillId="0" borderId="28" xfId="14" applyFont="1" applyBorder="1" applyAlignment="1">
      <alignment vertical="top" wrapText="1"/>
    </xf>
    <xf numFmtId="0" fontId="2" fillId="0" borderId="3" xfId="14" applyFont="1" applyBorder="1" applyAlignment="1">
      <alignment vertical="top" wrapText="1"/>
    </xf>
    <xf numFmtId="165" fontId="2" fillId="0" borderId="0" xfId="14" applyNumberFormat="1" applyFont="1" applyBorder="1" applyAlignment="1">
      <alignment vertical="top" wrapText="1"/>
    </xf>
    <xf numFmtId="165" fontId="2" fillId="15" borderId="4" xfId="14" applyNumberFormat="1" applyFont="1" applyFill="1" applyBorder="1" applyAlignment="1">
      <alignment vertical="top"/>
    </xf>
    <xf numFmtId="0" fontId="2" fillId="0" borderId="3" xfId="14" applyFont="1" applyBorder="1" applyAlignment="1">
      <alignment vertical="top"/>
    </xf>
    <xf numFmtId="165" fontId="2" fillId="0" borderId="0" xfId="14" applyNumberFormat="1" applyFont="1" applyBorder="1" applyAlignment="1">
      <alignment vertical="top"/>
    </xf>
    <xf numFmtId="165" fontId="2" fillId="0" borderId="0" xfId="14" applyNumberFormat="1" applyFont="1" applyAlignment="1">
      <alignment vertical="top"/>
    </xf>
    <xf numFmtId="0" fontId="2" fillId="0" borderId="5" xfId="14" applyFont="1" applyBorder="1" applyAlignment="1">
      <alignment vertical="top"/>
    </xf>
    <xf numFmtId="165" fontId="2" fillId="0" borderId="2" xfId="14" applyNumberFormat="1" applyFont="1" applyBorder="1" applyAlignment="1">
      <alignment vertical="top"/>
    </xf>
    <xf numFmtId="165" fontId="2" fillId="15" borderId="6" xfId="14" applyNumberFormat="1" applyFont="1" applyFill="1" applyBorder="1" applyAlignment="1">
      <alignment vertical="top"/>
    </xf>
    <xf numFmtId="0" fontId="2" fillId="0" borderId="28" xfId="14" applyFont="1" applyBorder="1" applyAlignment="1">
      <alignment vertical="top"/>
    </xf>
    <xf numFmtId="0" fontId="2" fillId="0" borderId="27" xfId="14" applyFont="1" applyBorder="1" applyAlignment="1">
      <alignment vertical="top"/>
    </xf>
    <xf numFmtId="0" fontId="2" fillId="0" borderId="26" xfId="14" applyFont="1" applyBorder="1" applyAlignment="1">
      <alignment vertical="top"/>
    </xf>
    <xf numFmtId="0" fontId="2" fillId="0" borderId="0" xfId="14" applyFont="1" applyBorder="1" applyAlignment="1">
      <alignment vertical="top"/>
    </xf>
    <xf numFmtId="0" fontId="2" fillId="0" borderId="4" xfId="14" applyFont="1" applyBorder="1" applyAlignment="1">
      <alignment vertical="top"/>
    </xf>
    <xf numFmtId="0" fontId="2" fillId="0" borderId="0" xfId="14" applyFont="1" applyFill="1" applyBorder="1" applyAlignment="1">
      <alignment vertical="top"/>
    </xf>
    <xf numFmtId="0" fontId="2" fillId="0" borderId="4" xfId="14" applyFont="1" applyFill="1" applyBorder="1" applyAlignment="1">
      <alignment vertical="top"/>
    </xf>
    <xf numFmtId="0" fontId="2" fillId="0" borderId="3" xfId="14" applyFont="1" applyFill="1" applyBorder="1" applyAlignment="1">
      <alignment vertical="top"/>
    </xf>
    <xf numFmtId="0" fontId="2" fillId="0" borderId="5" xfId="14" applyFont="1" applyFill="1" applyBorder="1" applyAlignment="1">
      <alignment vertical="top"/>
    </xf>
    <xf numFmtId="0" fontId="2" fillId="0" borderId="2" xfId="14" applyFont="1" applyBorder="1" applyAlignment="1">
      <alignment vertical="top"/>
    </xf>
    <xf numFmtId="0" fontId="2" fillId="0" borderId="6" xfId="14" applyFont="1" applyBorder="1" applyAlignment="1">
      <alignment vertical="top"/>
    </xf>
    <xf numFmtId="0" fontId="2" fillId="0" borderId="25" xfId="14" applyFont="1" applyFill="1" applyBorder="1" applyAlignment="1">
      <alignment vertical="top"/>
    </xf>
    <xf numFmtId="0" fontId="2" fillId="0" borderId="24" xfId="14" applyFont="1" applyBorder="1" applyAlignment="1">
      <alignment vertical="top"/>
    </xf>
    <xf numFmtId="0" fontId="2" fillId="0" borderId="23" xfId="14" applyFont="1" applyBorder="1" applyAlignment="1">
      <alignment vertical="top"/>
    </xf>
    <xf numFmtId="2" fontId="2" fillId="0" borderId="0" xfId="14" applyNumberFormat="1" applyFont="1" applyAlignment="1">
      <alignment vertical="top"/>
    </xf>
    <xf numFmtId="0" fontId="14" fillId="0" borderId="27" xfId="14" applyFont="1" applyBorder="1" applyAlignment="1">
      <alignment horizontal="center" vertical="top" wrapText="1"/>
    </xf>
    <xf numFmtId="0" fontId="14" fillId="15" borderId="26" xfId="14" applyFont="1" applyFill="1" applyBorder="1" applyAlignment="1">
      <alignment horizontal="center" vertical="top" wrapText="1"/>
    </xf>
    <xf numFmtId="0" fontId="15" fillId="0" borderId="0" xfId="0" applyFont="1" applyAlignment="1">
      <alignment vertical="top"/>
    </xf>
    <xf numFmtId="0" fontId="9" fillId="9" borderId="0" xfId="0" applyFont="1" applyFill="1" applyBorder="1" applyAlignment="1">
      <alignment vertical="top"/>
    </xf>
    <xf numFmtId="0" fontId="9" fillId="6" borderId="11" xfId="0" applyFont="1" applyFill="1" applyBorder="1" applyAlignment="1">
      <alignment vertical="top" wrapText="1"/>
    </xf>
    <xf numFmtId="0" fontId="5" fillId="0" borderId="0" xfId="0" applyFont="1" applyBorder="1" applyAlignment="1">
      <alignment vertical="top"/>
    </xf>
    <xf numFmtId="0" fontId="2" fillId="0" borderId="0" xfId="5" applyFont="1" applyAlignment="1">
      <alignment vertical="top"/>
    </xf>
    <xf numFmtId="0" fontId="9" fillId="8" borderId="19" xfId="0" applyFont="1" applyFill="1" applyBorder="1" applyAlignment="1">
      <alignment vertical="top"/>
    </xf>
    <xf numFmtId="0" fontId="9" fillId="8" borderId="20" xfId="0" applyFont="1" applyFill="1" applyBorder="1" applyAlignment="1">
      <alignment vertical="top"/>
    </xf>
    <xf numFmtId="0" fontId="2" fillId="0" borderId="0" xfId="5" applyFont="1" applyAlignment="1">
      <alignment vertical="top" wrapText="1"/>
    </xf>
    <xf numFmtId="0" fontId="9" fillId="2" borderId="7" xfId="0" applyFont="1" applyFill="1" applyBorder="1" applyAlignment="1">
      <alignment vertical="top"/>
    </xf>
    <xf numFmtId="0" fontId="9" fillId="2" borderId="8" xfId="0" applyFont="1" applyFill="1" applyBorder="1" applyAlignment="1">
      <alignment vertical="top"/>
    </xf>
    <xf numFmtId="0" fontId="14" fillId="2" borderId="11" xfId="5" applyFont="1" applyFill="1" applyBorder="1" applyAlignment="1">
      <alignment vertical="top" wrapText="1"/>
    </xf>
    <xf numFmtId="0" fontId="9" fillId="3" borderId="19" xfId="0" applyFont="1" applyFill="1" applyBorder="1" applyAlignment="1">
      <alignment vertical="top"/>
    </xf>
    <xf numFmtId="0" fontId="9" fillId="6" borderId="7" xfId="0" applyFont="1" applyFill="1" applyBorder="1" applyAlignment="1">
      <alignment vertical="top"/>
    </xf>
    <xf numFmtId="0" fontId="9" fillId="6" borderId="8" xfId="0" applyFont="1" applyFill="1" applyBorder="1" applyAlignment="1">
      <alignment vertical="top"/>
    </xf>
    <xf numFmtId="43" fontId="9" fillId="6" borderId="0" xfId="0" applyNumberFormat="1" applyFont="1" applyFill="1" applyBorder="1" applyAlignment="1">
      <alignment vertical="top"/>
    </xf>
    <xf numFmtId="0" fontId="9" fillId="6" borderId="0" xfId="0" applyFont="1" applyFill="1" applyBorder="1" applyAlignment="1">
      <alignment vertical="top" wrapText="1"/>
    </xf>
    <xf numFmtId="0" fontId="9" fillId="6" borderId="15" xfId="0" applyFont="1" applyFill="1" applyBorder="1" applyAlignment="1">
      <alignment vertical="top"/>
    </xf>
    <xf numFmtId="166" fontId="9" fillId="2" borderId="9" xfId="1" applyNumberFormat="1" applyFont="1" applyFill="1" applyBorder="1" applyAlignment="1">
      <alignment vertical="top"/>
    </xf>
    <xf numFmtId="43" fontId="9" fillId="2" borderId="0" xfId="1" applyNumberFormat="1" applyFont="1" applyFill="1" applyBorder="1" applyAlignment="1">
      <alignment vertical="top"/>
    </xf>
    <xf numFmtId="0" fontId="9" fillId="2" borderId="0" xfId="0" applyFont="1" applyFill="1" applyBorder="1" applyAlignment="1">
      <alignment vertical="top" wrapText="1"/>
    </xf>
    <xf numFmtId="0" fontId="9" fillId="2" borderId="14" xfId="0" applyFont="1" applyFill="1" applyBorder="1" applyAlignment="1">
      <alignment vertical="top"/>
    </xf>
    <xf numFmtId="166" fontId="9" fillId="2" borderId="16" xfId="1" applyNumberFormat="1" applyFont="1" applyFill="1" applyBorder="1" applyAlignment="1">
      <alignment vertical="top"/>
    </xf>
    <xf numFmtId="0" fontId="9" fillId="2" borderId="14" xfId="0" applyFont="1" applyFill="1" applyBorder="1" applyAlignment="1">
      <alignment vertical="top" wrapText="1"/>
    </xf>
    <xf numFmtId="166" fontId="9" fillId="2" borderId="15" xfId="0" applyNumberFormat="1" applyFont="1" applyFill="1" applyBorder="1" applyAlignment="1">
      <alignment vertical="top"/>
    </xf>
    <xf numFmtId="166" fontId="9" fillId="6" borderId="0" xfId="1" applyNumberFormat="1" applyFont="1" applyFill="1" applyBorder="1" applyAlignment="1">
      <alignment vertical="top"/>
    </xf>
    <xf numFmtId="166" fontId="9" fillId="6" borderId="0" xfId="0" applyNumberFormat="1" applyFont="1" applyFill="1" applyBorder="1" applyAlignment="1">
      <alignment vertical="top"/>
    </xf>
    <xf numFmtId="166" fontId="9" fillId="2" borderId="0" xfId="1" applyNumberFormat="1" applyFont="1" applyFill="1" applyBorder="1" applyAlignment="1">
      <alignment vertical="top"/>
    </xf>
    <xf numFmtId="0" fontId="17" fillId="0" borderId="0" xfId="0" applyFont="1" applyAlignment="1">
      <alignment vertical="top"/>
    </xf>
    <xf numFmtId="0" fontId="5" fillId="0" borderId="0" xfId="0" applyFont="1" applyAlignment="1">
      <alignment vertical="top" wrapText="1"/>
    </xf>
    <xf numFmtId="0" fontId="14" fillId="8" borderId="19" xfId="5" applyFont="1" applyFill="1" applyBorder="1" applyAlignment="1">
      <alignment vertical="top"/>
    </xf>
    <xf numFmtId="0" fontId="14" fillId="8" borderId="19" xfId="5" applyFont="1" applyFill="1" applyBorder="1" applyAlignment="1">
      <alignment vertical="top" wrapText="1"/>
    </xf>
    <xf numFmtId="0" fontId="14" fillId="8" borderId="20" xfId="5" applyFont="1" applyFill="1" applyBorder="1" applyAlignment="1">
      <alignment vertical="top" wrapText="1"/>
    </xf>
    <xf numFmtId="9" fontId="9" fillId="2" borderId="0" xfId="0" applyNumberFormat="1" applyFont="1" applyFill="1" applyBorder="1" applyAlignment="1">
      <alignment vertical="top"/>
    </xf>
    <xf numFmtId="0" fontId="14" fillId="2" borderId="0" xfId="5" applyFont="1" applyFill="1" applyBorder="1" applyAlignment="1">
      <alignment vertical="top"/>
    </xf>
    <xf numFmtId="0" fontId="14" fillId="2" borderId="0" xfId="5" applyFont="1" applyFill="1" applyBorder="1" applyAlignment="1">
      <alignment vertical="top" wrapText="1"/>
    </xf>
    <xf numFmtId="0" fontId="9" fillId="2" borderId="12" xfId="0" applyFont="1" applyFill="1" applyBorder="1" applyAlignment="1">
      <alignment vertical="top" wrapText="1"/>
    </xf>
    <xf numFmtId="0" fontId="14" fillId="2" borderId="0" xfId="5" applyFont="1" applyFill="1" applyBorder="1" applyAlignment="1">
      <alignment horizontal="right" vertical="top"/>
    </xf>
    <xf numFmtId="0" fontId="14" fillId="2" borderId="12" xfId="5" applyFont="1" applyFill="1" applyBorder="1" applyAlignment="1">
      <alignment vertical="top" wrapText="1"/>
    </xf>
    <xf numFmtId="0" fontId="14" fillId="2" borderId="15" xfId="5" applyFont="1" applyFill="1" applyBorder="1" applyAlignment="1">
      <alignment vertical="top" wrapText="1"/>
    </xf>
    <xf numFmtId="0" fontId="14" fillId="3" borderId="19" xfId="5" applyFont="1" applyFill="1" applyBorder="1" applyAlignment="1">
      <alignment vertical="top"/>
    </xf>
    <xf numFmtId="0" fontId="14" fillId="3" borderId="19" xfId="5" applyFont="1" applyFill="1" applyBorder="1" applyAlignment="1">
      <alignment vertical="top" wrapText="1"/>
    </xf>
    <xf numFmtId="0" fontId="14" fillId="3" borderId="20" xfId="5" applyFont="1" applyFill="1" applyBorder="1" applyAlignment="1">
      <alignment vertical="top" wrapText="1"/>
    </xf>
    <xf numFmtId="0" fontId="14" fillId="6" borderId="11" xfId="5" applyFont="1" applyFill="1" applyBorder="1" applyAlignment="1">
      <alignment vertical="top" wrapText="1"/>
    </xf>
    <xf numFmtId="0" fontId="9" fillId="6" borderId="12" xfId="0" applyFont="1" applyFill="1" applyBorder="1" applyAlignment="1">
      <alignment vertical="top" wrapText="1"/>
    </xf>
    <xf numFmtId="0" fontId="2" fillId="12" borderId="0" xfId="5" applyFont="1" applyFill="1" applyAlignment="1">
      <alignment vertical="top"/>
    </xf>
    <xf numFmtId="0" fontId="9" fillId="6" borderId="15" xfId="0" applyFont="1" applyFill="1" applyBorder="1" applyAlignment="1">
      <alignment vertical="top" wrapText="1"/>
    </xf>
    <xf numFmtId="0" fontId="9" fillId="6" borderId="16" xfId="0" applyFont="1" applyFill="1" applyBorder="1" applyAlignment="1">
      <alignment vertical="top" wrapText="1"/>
    </xf>
    <xf numFmtId="0" fontId="17" fillId="0" borderId="0" xfId="0" applyFont="1" applyAlignment="1">
      <alignment horizontal="center" vertical="top" wrapText="1"/>
    </xf>
    <xf numFmtId="0" fontId="15" fillId="0" borderId="0" xfId="14" applyFont="1" applyAlignment="1">
      <alignment vertical="top"/>
    </xf>
    <xf numFmtId="1" fontId="5" fillId="0" borderId="0" xfId="0" applyNumberFormat="1" applyFont="1" applyAlignment="1">
      <alignment vertical="top"/>
    </xf>
    <xf numFmtId="0" fontId="5" fillId="8" borderId="19" xfId="0" applyFont="1" applyFill="1" applyBorder="1" applyAlignment="1">
      <alignment vertical="top" wrapText="1"/>
    </xf>
    <xf numFmtId="0" fontId="5" fillId="8" borderId="20" xfId="0" applyFont="1" applyFill="1" applyBorder="1" applyAlignment="1">
      <alignment vertical="top" wrapText="1"/>
    </xf>
    <xf numFmtId="165" fontId="2" fillId="0" borderId="0" xfId="0" applyNumberFormat="1" applyFont="1" applyAlignment="1">
      <alignment horizontal="right" vertical="top"/>
    </xf>
    <xf numFmtId="0" fontId="5" fillId="2" borderId="0" xfId="0" applyFont="1" applyFill="1" applyBorder="1" applyAlignment="1">
      <alignment vertical="top" wrapText="1"/>
    </xf>
    <xf numFmtId="0" fontId="5" fillId="2" borderId="12" xfId="0" applyFont="1" applyFill="1" applyBorder="1" applyAlignment="1">
      <alignment vertical="top" wrapText="1"/>
    </xf>
    <xf numFmtId="9" fontId="9" fillId="2" borderId="15" xfId="0" applyNumberFormat="1" applyFont="1" applyFill="1" applyBorder="1" applyAlignment="1">
      <alignment vertical="top"/>
    </xf>
    <xf numFmtId="0" fontId="9" fillId="2" borderId="16" xfId="0" applyFont="1" applyFill="1" applyBorder="1" applyAlignment="1">
      <alignment vertical="top" wrapText="1"/>
    </xf>
    <xf numFmtId="0" fontId="9" fillId="3" borderId="8" xfId="0" applyFont="1" applyFill="1" applyBorder="1" applyAlignment="1">
      <alignment vertical="top"/>
    </xf>
    <xf numFmtId="0" fontId="9" fillId="3" borderId="8" xfId="0" applyFont="1" applyFill="1" applyBorder="1" applyAlignment="1">
      <alignment vertical="top" wrapText="1"/>
    </xf>
    <xf numFmtId="0" fontId="9" fillId="3" borderId="9" xfId="0" applyFont="1" applyFill="1" applyBorder="1" applyAlignment="1">
      <alignment vertical="top" wrapText="1"/>
    </xf>
    <xf numFmtId="0" fontId="9" fillId="6" borderId="8" xfId="0" applyFont="1" applyFill="1" applyBorder="1" applyAlignment="1">
      <alignment vertical="top" wrapText="1"/>
    </xf>
    <xf numFmtId="0" fontId="9" fillId="6" borderId="9" xfId="0" applyFont="1" applyFill="1" applyBorder="1" applyAlignment="1">
      <alignment vertical="top" wrapText="1"/>
    </xf>
    <xf numFmtId="43" fontId="9" fillId="6" borderId="0" xfId="1" applyFont="1" applyFill="1" applyBorder="1" applyAlignment="1">
      <alignment vertical="top"/>
    </xf>
    <xf numFmtId="1" fontId="9" fillId="6" borderId="0" xfId="0" applyNumberFormat="1" applyFont="1" applyFill="1" applyBorder="1" applyAlignment="1">
      <alignment vertical="top"/>
    </xf>
    <xf numFmtId="0" fontId="9" fillId="6" borderId="14" xfId="0" applyFont="1" applyFill="1" applyBorder="1" applyAlignment="1">
      <alignment vertical="top" wrapText="1"/>
    </xf>
    <xf numFmtId="38" fontId="9" fillId="6" borderId="15" xfId="0" applyNumberFormat="1" applyFont="1" applyFill="1" applyBorder="1" applyAlignment="1">
      <alignment vertical="top"/>
    </xf>
    <xf numFmtId="1" fontId="9" fillId="6" borderId="15" xfId="0" applyNumberFormat="1" applyFont="1" applyFill="1" applyBorder="1" applyAlignment="1">
      <alignment vertical="top"/>
    </xf>
    <xf numFmtId="0" fontId="9" fillId="8" borderId="8" xfId="0" applyFont="1" applyFill="1" applyBorder="1" applyAlignment="1">
      <alignment vertical="top"/>
    </xf>
    <xf numFmtId="1" fontId="9" fillId="8" borderId="8" xfId="0" applyNumberFormat="1" applyFont="1" applyFill="1" applyBorder="1" applyAlignment="1">
      <alignment vertical="top"/>
    </xf>
    <xf numFmtId="38" fontId="9" fillId="8" borderId="8" xfId="0" applyNumberFormat="1" applyFont="1" applyFill="1" applyBorder="1" applyAlignment="1">
      <alignment vertical="top"/>
    </xf>
    <xf numFmtId="0" fontId="9" fillId="8" borderId="8" xfId="0" applyFont="1" applyFill="1" applyBorder="1" applyAlignment="1">
      <alignment vertical="top" wrapText="1"/>
    </xf>
    <xf numFmtId="0" fontId="9" fillId="8" borderId="9" xfId="0" applyFont="1" applyFill="1" applyBorder="1" applyAlignment="1">
      <alignment vertical="top" wrapText="1"/>
    </xf>
    <xf numFmtId="1" fontId="9" fillId="2" borderId="8" xfId="0" applyNumberFormat="1" applyFont="1" applyFill="1" applyBorder="1" applyAlignment="1">
      <alignment vertical="top"/>
    </xf>
    <xf numFmtId="38" fontId="9" fillId="2" borderId="8" xfId="0" applyNumberFormat="1" applyFont="1" applyFill="1" applyBorder="1" applyAlignment="1">
      <alignment vertical="top"/>
    </xf>
    <xf numFmtId="0" fontId="9" fillId="2" borderId="8" xfId="0" applyFont="1" applyFill="1" applyBorder="1" applyAlignment="1">
      <alignment vertical="top" wrapText="1"/>
    </xf>
    <xf numFmtId="0" fontId="9" fillId="2" borderId="9" xfId="0" applyFont="1" applyFill="1" applyBorder="1" applyAlignment="1">
      <alignment vertical="top" wrapText="1"/>
    </xf>
    <xf numFmtId="1" fontId="9" fillId="2" borderId="0" xfId="0" applyNumberFormat="1" applyFont="1" applyFill="1" applyBorder="1" applyAlignment="1">
      <alignment vertical="top"/>
    </xf>
    <xf numFmtId="1" fontId="9" fillId="2" borderId="0" xfId="0" applyNumberFormat="1" applyFont="1" applyFill="1" applyBorder="1" applyAlignment="1">
      <alignment horizontal="right" vertical="top"/>
    </xf>
    <xf numFmtId="1" fontId="9" fillId="3" borderId="19" xfId="0" applyNumberFormat="1" applyFont="1" applyFill="1" applyBorder="1" applyAlignment="1">
      <alignment vertical="top"/>
    </xf>
    <xf numFmtId="0" fontId="9" fillId="3" borderId="19" xfId="0" applyFont="1" applyFill="1" applyBorder="1" applyAlignment="1">
      <alignment vertical="top" wrapText="1"/>
    </xf>
    <xf numFmtId="0" fontId="9" fillId="3" borderId="20" xfId="0" applyFont="1" applyFill="1" applyBorder="1" applyAlignment="1">
      <alignment vertical="top" wrapText="1"/>
    </xf>
    <xf numFmtId="43" fontId="9" fillId="6" borderId="0" xfId="1" applyNumberFormat="1" applyFont="1" applyFill="1" applyBorder="1" applyAlignment="1">
      <alignment vertical="top"/>
    </xf>
    <xf numFmtId="1" fontId="9" fillId="6" borderId="0" xfId="0" applyNumberFormat="1" applyFont="1" applyFill="1" applyBorder="1" applyAlignment="1">
      <alignment horizontal="right" vertical="top"/>
    </xf>
    <xf numFmtId="0" fontId="14" fillId="6" borderId="14" xfId="5" applyFont="1" applyFill="1" applyBorder="1" applyAlignment="1">
      <alignment vertical="top" wrapText="1"/>
    </xf>
    <xf numFmtId="1" fontId="9" fillId="6" borderId="15" xfId="0" applyNumberFormat="1" applyFont="1" applyFill="1" applyBorder="1" applyAlignment="1">
      <alignment horizontal="right" vertical="top"/>
    </xf>
    <xf numFmtId="166" fontId="9" fillId="6" borderId="15" xfId="1" applyNumberFormat="1" applyFont="1" applyFill="1" applyBorder="1" applyAlignment="1">
      <alignment vertical="top"/>
    </xf>
    <xf numFmtId="1" fontId="9" fillId="8" borderId="19" xfId="0" applyNumberFormat="1" applyFont="1" applyFill="1" applyBorder="1" applyAlignment="1">
      <alignment vertical="top"/>
    </xf>
    <xf numFmtId="0" fontId="5" fillId="6" borderId="7" xfId="0" applyFont="1" applyFill="1" applyBorder="1" applyAlignment="1">
      <alignment vertical="top"/>
    </xf>
    <xf numFmtId="0" fontId="5" fillId="6" borderId="8" xfId="0" applyFont="1" applyFill="1" applyBorder="1" applyAlignment="1">
      <alignment vertical="top"/>
    </xf>
    <xf numFmtId="1" fontId="5" fillId="6" borderId="8" xfId="0" applyNumberFormat="1" applyFont="1" applyFill="1" applyBorder="1" applyAlignment="1">
      <alignment vertical="top"/>
    </xf>
    <xf numFmtId="0" fontId="5" fillId="6" borderId="9" xfId="0" applyFont="1" applyFill="1" applyBorder="1" applyAlignment="1">
      <alignment vertical="top"/>
    </xf>
    <xf numFmtId="0" fontId="5" fillId="6" borderId="14" xfId="0" applyFont="1" applyFill="1" applyBorder="1" applyAlignment="1">
      <alignment vertical="top"/>
    </xf>
    <xf numFmtId="0" fontId="5" fillId="6" borderId="15" xfId="0" applyFont="1" applyFill="1" applyBorder="1" applyAlignment="1">
      <alignment vertical="top"/>
    </xf>
    <xf numFmtId="1" fontId="5" fillId="6" borderId="15" xfId="0" applyNumberFormat="1" applyFont="1" applyFill="1" applyBorder="1" applyAlignment="1">
      <alignment vertical="top"/>
    </xf>
    <xf numFmtId="0" fontId="5" fillId="6" borderId="16" xfId="0" applyFont="1" applyFill="1" applyBorder="1" applyAlignment="1">
      <alignment vertical="top"/>
    </xf>
    <xf numFmtId="0" fontId="9" fillId="2" borderId="7" xfId="0" applyFont="1" applyFill="1" applyBorder="1" applyAlignment="1">
      <alignment vertical="top" wrapText="1"/>
    </xf>
    <xf numFmtId="0" fontId="9" fillId="2" borderId="8" xfId="0" applyFont="1" applyFill="1" applyBorder="1" applyAlignment="1">
      <alignment horizontal="center" vertical="top"/>
    </xf>
    <xf numFmtId="0" fontId="9" fillId="2" borderId="15" xfId="0" applyFont="1" applyFill="1" applyBorder="1" applyAlignment="1">
      <alignment horizontal="center" vertical="top"/>
    </xf>
    <xf numFmtId="0" fontId="9" fillId="11" borderId="19" xfId="0" applyFont="1" applyFill="1" applyBorder="1" applyAlignment="1">
      <alignment vertical="top"/>
    </xf>
    <xf numFmtId="0" fontId="9" fillId="11" borderId="20" xfId="0" applyFont="1" applyFill="1" applyBorder="1" applyAlignment="1">
      <alignment vertical="top"/>
    </xf>
    <xf numFmtId="0" fontId="18" fillId="9" borderId="7" xfId="0" applyFont="1" applyFill="1" applyBorder="1" applyAlignment="1">
      <alignment vertical="top"/>
    </xf>
    <xf numFmtId="0" fontId="18" fillId="9" borderId="8" xfId="0" applyFont="1" applyFill="1" applyBorder="1" applyAlignment="1">
      <alignment vertical="top"/>
    </xf>
    <xf numFmtId="0" fontId="9" fillId="9" borderId="8" xfId="0" applyFont="1" applyFill="1" applyBorder="1" applyAlignment="1">
      <alignment vertical="top"/>
    </xf>
    <xf numFmtId="0" fontId="9" fillId="9" borderId="9" xfId="0" applyFont="1" applyFill="1" applyBorder="1" applyAlignment="1">
      <alignment vertical="top"/>
    </xf>
    <xf numFmtId="0" fontId="5" fillId="9" borderId="14" xfId="0" applyFont="1" applyFill="1" applyBorder="1" applyAlignment="1">
      <alignment vertical="top"/>
    </xf>
    <xf numFmtId="0" fontId="5" fillId="9" borderId="15" xfId="0" applyFont="1" applyFill="1" applyBorder="1" applyAlignment="1">
      <alignment vertical="top"/>
    </xf>
    <xf numFmtId="0" fontId="9" fillId="9" borderId="15" xfId="0" applyFont="1" applyFill="1" applyBorder="1" applyAlignment="1">
      <alignment vertical="top"/>
    </xf>
    <xf numFmtId="0" fontId="9" fillId="9" borderId="16" xfId="0" applyFont="1" applyFill="1" applyBorder="1" applyAlignment="1">
      <alignment vertical="top"/>
    </xf>
    <xf numFmtId="0" fontId="5" fillId="9" borderId="11" xfId="0" applyFont="1" applyFill="1" applyBorder="1" applyAlignment="1">
      <alignment vertical="top"/>
    </xf>
    <xf numFmtId="0" fontId="5" fillId="9" borderId="0" xfId="0" applyFont="1" applyFill="1" applyBorder="1" applyAlignment="1">
      <alignment vertical="top"/>
    </xf>
    <xf numFmtId="0" fontId="9" fillId="9" borderId="12" xfId="0" applyFont="1" applyFill="1" applyBorder="1" applyAlignment="1">
      <alignment vertical="top"/>
    </xf>
    <xf numFmtId="166" fontId="5" fillId="0" borderId="0" xfId="1" applyNumberFormat="1" applyFont="1" applyFill="1" applyBorder="1" applyAlignment="1">
      <alignment vertical="top"/>
    </xf>
    <xf numFmtId="166" fontId="9" fillId="0" borderId="0" xfId="1" applyNumberFormat="1" applyFont="1" applyFill="1" applyBorder="1" applyAlignment="1">
      <alignment vertical="top"/>
    </xf>
    <xf numFmtId="0" fontId="9" fillId="11" borderId="19" xfId="0" applyFont="1" applyFill="1" applyBorder="1" applyAlignment="1">
      <alignment horizontal="left" vertical="top"/>
    </xf>
    <xf numFmtId="0" fontId="17" fillId="11" borderId="20" xfId="0" applyFont="1" applyFill="1" applyBorder="1" applyAlignment="1">
      <alignment horizontal="center" vertical="top"/>
    </xf>
    <xf numFmtId="0" fontId="9" fillId="9" borderId="7" xfId="0" applyFont="1" applyFill="1" applyBorder="1" applyAlignment="1">
      <alignment vertical="top"/>
    </xf>
    <xf numFmtId="166" fontId="9" fillId="9" borderId="9" xfId="0" applyNumberFormat="1" applyFont="1" applyFill="1" applyBorder="1" applyAlignment="1">
      <alignment horizontal="center" vertical="top"/>
    </xf>
    <xf numFmtId="0" fontId="9" fillId="9" borderId="11" xfId="0" applyFont="1" applyFill="1" applyBorder="1" applyAlignment="1">
      <alignment vertical="top"/>
    </xf>
    <xf numFmtId="0" fontId="9" fillId="9" borderId="14" xfId="0" applyFont="1" applyFill="1" applyBorder="1" applyAlignment="1">
      <alignment vertical="top"/>
    </xf>
    <xf numFmtId="0" fontId="9" fillId="9" borderId="16" xfId="0" applyFont="1" applyFill="1" applyBorder="1" applyAlignment="1">
      <alignment horizontal="center" vertical="top"/>
    </xf>
    <xf numFmtId="0" fontId="9" fillId="0" borderId="0" xfId="0" applyFont="1" applyAlignment="1">
      <alignment vertical="top" wrapText="1"/>
    </xf>
    <xf numFmtId="0" fontId="9" fillId="2" borderId="10" xfId="0" applyNumberFormat="1" applyFont="1" applyFill="1" applyBorder="1" applyAlignment="1">
      <alignment vertical="top" wrapText="1"/>
    </xf>
    <xf numFmtId="0" fontId="9" fillId="2" borderId="13" xfId="0" applyFont="1" applyFill="1" applyBorder="1" applyAlignment="1">
      <alignment vertical="top" wrapText="1"/>
    </xf>
    <xf numFmtId="0" fontId="9" fillId="2" borderId="17" xfId="0" applyFont="1" applyFill="1" applyBorder="1" applyAlignment="1">
      <alignment vertical="top" wrapText="1"/>
    </xf>
    <xf numFmtId="0" fontId="9" fillId="6" borderId="21" xfId="0" applyNumberFormat="1" applyFont="1" applyFill="1" applyBorder="1" applyAlignment="1">
      <alignment vertical="top" wrapText="1"/>
    </xf>
    <xf numFmtId="0" fontId="9" fillId="0" borderId="0" xfId="0" applyNumberFormat="1" applyFont="1" applyFill="1" applyBorder="1" applyAlignment="1">
      <alignment vertical="top" wrapText="1"/>
    </xf>
    <xf numFmtId="0" fontId="9" fillId="2" borderId="21" xfId="0" applyNumberFormat="1" applyFont="1" applyFill="1" applyBorder="1" applyAlignment="1">
      <alignment vertical="top" wrapText="1"/>
    </xf>
    <xf numFmtId="0" fontId="9" fillId="6" borderId="10" xfId="0" applyNumberFormat="1" applyFont="1" applyFill="1" applyBorder="1" applyAlignment="1">
      <alignment vertical="top" wrapText="1"/>
    </xf>
    <xf numFmtId="0" fontId="9" fillId="6" borderId="13" xfId="0" applyNumberFormat="1" applyFont="1" applyFill="1" applyBorder="1" applyAlignment="1">
      <alignment vertical="top" wrapText="1"/>
    </xf>
    <xf numFmtId="0" fontId="9" fillId="6" borderId="17" xfId="0" applyNumberFormat="1" applyFont="1" applyFill="1" applyBorder="1" applyAlignment="1">
      <alignment vertical="top" wrapText="1"/>
    </xf>
    <xf numFmtId="0" fontId="9" fillId="0" borderId="0" xfId="0" applyNumberFormat="1" applyFont="1" applyAlignment="1">
      <alignment vertical="top" wrapText="1"/>
    </xf>
    <xf numFmtId="0" fontId="9" fillId="11" borderId="21" xfId="0" applyFont="1" applyFill="1" applyBorder="1" applyAlignment="1">
      <alignment horizontal="center" vertical="top" wrapText="1"/>
    </xf>
    <xf numFmtId="0" fontId="9" fillId="9" borderId="21" xfId="0" applyFont="1" applyFill="1" applyBorder="1" applyAlignment="1">
      <alignment vertical="top" wrapText="1"/>
    </xf>
    <xf numFmtId="0" fontId="9" fillId="8" borderId="21" xfId="0" applyNumberFormat="1" applyFont="1" applyFill="1" applyBorder="1" applyAlignment="1">
      <alignment vertical="top" wrapText="1"/>
    </xf>
    <xf numFmtId="0" fontId="9" fillId="3" borderId="21" xfId="0" applyFont="1" applyFill="1" applyBorder="1" applyAlignment="1">
      <alignment vertical="top" wrapText="1"/>
    </xf>
    <xf numFmtId="0" fontId="9" fillId="3" borderId="21" xfId="0" applyNumberFormat="1" applyFont="1" applyFill="1" applyBorder="1" applyAlignment="1">
      <alignment vertical="top" wrapText="1"/>
    </xf>
    <xf numFmtId="0" fontId="7" fillId="0" borderId="0" xfId="0" applyFont="1" applyAlignment="1">
      <alignment horizontal="left" vertical="top"/>
    </xf>
    <xf numFmtId="0" fontId="5" fillId="0" borderId="0" xfId="0" applyFont="1" applyAlignment="1">
      <alignment horizontal="center" vertical="top"/>
    </xf>
    <xf numFmtId="169" fontId="9" fillId="2" borderId="0" xfId="2" applyNumberFormat="1" applyFont="1" applyFill="1" applyBorder="1" applyAlignment="1">
      <alignment vertical="top"/>
    </xf>
    <xf numFmtId="0" fontId="5" fillId="0" borderId="11" xfId="0" applyFont="1" applyBorder="1" applyAlignment="1">
      <alignment vertical="top"/>
    </xf>
    <xf numFmtId="0" fontId="9" fillId="0" borderId="0" xfId="0" applyFont="1" applyBorder="1" applyAlignment="1">
      <alignment vertical="top"/>
    </xf>
    <xf numFmtId="174" fontId="9" fillId="2" borderId="0" xfId="2" applyNumberFormat="1" applyFont="1" applyFill="1" applyBorder="1" applyAlignment="1">
      <alignment vertical="top"/>
    </xf>
    <xf numFmtId="166" fontId="5" fillId="0" borderId="0" xfId="0" applyNumberFormat="1" applyFont="1" applyAlignment="1">
      <alignment vertical="top"/>
    </xf>
    <xf numFmtId="0" fontId="21" fillId="0" borderId="0" xfId="0" applyFont="1" applyAlignment="1">
      <alignment vertical="top" wrapText="1"/>
    </xf>
    <xf numFmtId="0" fontId="8" fillId="11" borderId="18" xfId="0" applyFont="1" applyFill="1" applyBorder="1" applyAlignment="1">
      <alignment horizontal="left" vertical="top"/>
    </xf>
    <xf numFmtId="0" fontId="8" fillId="9" borderId="11" xfId="0" applyFont="1" applyFill="1" applyBorder="1" applyAlignment="1">
      <alignment vertical="top"/>
    </xf>
    <xf numFmtId="0" fontId="8" fillId="9" borderId="0" xfId="0" applyFont="1" applyFill="1" applyBorder="1" applyAlignment="1">
      <alignment vertical="top"/>
    </xf>
    <xf numFmtId="0" fontId="8" fillId="9" borderId="0" xfId="0" applyFont="1" applyFill="1" applyBorder="1" applyAlignment="1">
      <alignment horizontal="right" vertical="top"/>
    </xf>
    <xf numFmtId="0" fontId="8" fillId="3" borderId="18" xfId="0" applyFont="1" applyFill="1" applyBorder="1" applyAlignment="1">
      <alignment vertical="top"/>
    </xf>
    <xf numFmtId="0" fontId="8" fillId="11" borderId="18" xfId="0" applyFont="1" applyFill="1" applyBorder="1" applyAlignment="1">
      <alignment vertical="top"/>
    </xf>
    <xf numFmtId="0" fontId="8" fillId="3" borderId="7" xfId="0" applyFont="1" applyFill="1" applyBorder="1" applyAlignment="1">
      <alignment vertical="top"/>
    </xf>
    <xf numFmtId="0" fontId="8" fillId="8" borderId="7" xfId="0" applyFont="1" applyFill="1" applyBorder="1" applyAlignment="1">
      <alignment vertical="top" wrapText="1"/>
    </xf>
    <xf numFmtId="0" fontId="8" fillId="8" borderId="18" xfId="5" applyFont="1" applyFill="1" applyBorder="1" applyAlignment="1">
      <alignment vertical="top" wrapText="1"/>
    </xf>
    <xf numFmtId="0" fontId="8" fillId="3" borderId="18" xfId="5" applyFont="1" applyFill="1" applyBorder="1" applyAlignment="1">
      <alignment vertical="top" wrapText="1"/>
    </xf>
    <xf numFmtId="0" fontId="8" fillId="4" borderId="18" xfId="0" applyFont="1" applyFill="1" applyBorder="1" applyAlignment="1">
      <alignment horizontal="center" vertical="top"/>
    </xf>
    <xf numFmtId="0" fontId="8" fillId="4" borderId="19" xfId="0" applyFont="1" applyFill="1" applyBorder="1" applyAlignment="1">
      <alignment horizontal="center" vertical="top"/>
    </xf>
    <xf numFmtId="0" fontId="8" fillId="4" borderId="19" xfId="0" applyFont="1" applyFill="1" applyBorder="1" applyAlignment="1">
      <alignment horizontal="center" vertical="top" wrapText="1"/>
    </xf>
    <xf numFmtId="0" fontId="8" fillId="4" borderId="20" xfId="0" applyFont="1" applyFill="1" applyBorder="1" applyAlignment="1">
      <alignment horizontal="center" vertical="top" wrapText="1"/>
    </xf>
    <xf numFmtId="0" fontId="8" fillId="10" borderId="19" xfId="0" applyFont="1" applyFill="1" applyBorder="1" applyAlignment="1">
      <alignment horizontal="center" vertical="top" wrapText="1"/>
    </xf>
    <xf numFmtId="0" fontId="9" fillId="2" borderId="11" xfId="0" applyFont="1" applyFill="1" applyBorder="1" applyAlignment="1">
      <alignment horizontal="right" vertical="top" wrapText="1"/>
    </xf>
    <xf numFmtId="43" fontId="12" fillId="2" borderId="0" xfId="1" applyNumberFormat="1" applyFont="1" applyFill="1" applyBorder="1" applyAlignment="1">
      <alignment vertical="top"/>
    </xf>
    <xf numFmtId="1" fontId="12" fillId="2" borderId="0" xfId="0" applyNumberFormat="1" applyFont="1" applyFill="1" applyBorder="1" applyAlignment="1">
      <alignment vertical="top"/>
    </xf>
    <xf numFmtId="0" fontId="16" fillId="0" borderId="0" xfId="0" applyFont="1" applyFill="1" applyAlignment="1">
      <alignment horizontal="left" vertical="top" wrapText="1"/>
    </xf>
    <xf numFmtId="0" fontId="16" fillId="0" borderId="32" xfId="0" applyFont="1" applyFill="1" applyBorder="1" applyAlignment="1">
      <alignment horizontal="center" wrapText="1"/>
    </xf>
    <xf numFmtId="0" fontId="16" fillId="0" borderId="0" xfId="0" applyFont="1" applyFill="1" applyAlignment="1">
      <alignment horizontal="left"/>
    </xf>
    <xf numFmtId="175" fontId="26" fillId="0" borderId="0" xfId="0" applyNumberFormat="1" applyFont="1" applyFill="1" applyAlignment="1">
      <alignment horizontal="right"/>
    </xf>
    <xf numFmtId="176" fontId="26" fillId="0" borderId="0" xfId="0" applyNumberFormat="1" applyFont="1" applyFill="1" applyAlignment="1">
      <alignment horizontal="right"/>
    </xf>
    <xf numFmtId="0" fontId="0" fillId="0" borderId="0" xfId="0" applyFont="1" applyAlignment="1">
      <alignment horizontal="right" wrapText="1"/>
    </xf>
    <xf numFmtId="177" fontId="27" fillId="0" borderId="0" xfId="8" applyNumberFormat="1" applyFont="1" applyBorder="1" applyAlignment="1">
      <alignment horizontal="right"/>
    </xf>
    <xf numFmtId="177" fontId="28" fillId="0" borderId="0" xfId="8" applyNumberFormat="1" applyFont="1" applyBorder="1" applyAlignment="1">
      <alignment horizontal="right" vertical="center"/>
    </xf>
    <xf numFmtId="0" fontId="2" fillId="0" borderId="0" xfId="3"/>
    <xf numFmtId="171" fontId="2" fillId="0" borderId="0" xfId="3" applyNumberFormat="1"/>
    <xf numFmtId="0" fontId="9" fillId="0" borderId="0" xfId="74" applyFont="1" applyAlignment="1">
      <alignment vertical="top"/>
    </xf>
    <xf numFmtId="0" fontId="5" fillId="0" borderId="0" xfId="0" applyFont="1" applyAlignment="1">
      <alignment horizontal="left" vertical="center" wrapText="1"/>
    </xf>
    <xf numFmtId="177" fontId="26" fillId="0" borderId="0" xfId="8" applyNumberFormat="1" applyFont="1" applyBorder="1" applyAlignment="1">
      <alignment horizontal="right" vertical="center"/>
    </xf>
    <xf numFmtId="0" fontId="5" fillId="0" borderId="0" xfId="74" applyFont="1" applyAlignment="1">
      <alignment horizontal="right" vertical="center"/>
    </xf>
    <xf numFmtId="2" fontId="5" fillId="0" borderId="0" xfId="74" applyNumberFormat="1" applyFont="1" applyAlignment="1">
      <alignment vertical="top"/>
    </xf>
    <xf numFmtId="0" fontId="9" fillId="0" borderId="7" xfId="74" applyFont="1" applyBorder="1" applyAlignment="1">
      <alignment vertical="top"/>
    </xf>
    <xf numFmtId="0" fontId="9" fillId="0" borderId="8" xfId="74" applyFont="1" applyBorder="1" applyAlignment="1">
      <alignment vertical="top"/>
    </xf>
    <xf numFmtId="175" fontId="5" fillId="0" borderId="14" xfId="74" applyNumberFormat="1" applyFont="1" applyBorder="1" applyAlignment="1">
      <alignment vertical="top"/>
    </xf>
    <xf numFmtId="175" fontId="5" fillId="0" borderId="15" xfId="74" applyNumberFormat="1" applyFont="1" applyBorder="1" applyAlignment="1">
      <alignment vertical="top"/>
    </xf>
    <xf numFmtId="176" fontId="5" fillId="0" borderId="15" xfId="74" applyNumberFormat="1" applyFont="1" applyBorder="1" applyAlignment="1">
      <alignment vertical="top"/>
    </xf>
    <xf numFmtId="0" fontId="29" fillId="2" borderId="11" xfId="0" applyFont="1" applyFill="1" applyBorder="1" applyAlignment="1">
      <alignment horizontal="left" vertical="top" wrapText="1"/>
    </xf>
    <xf numFmtId="0" fontId="9" fillId="2" borderId="0" xfId="0" applyFont="1" applyFill="1" applyBorder="1" applyAlignment="1">
      <alignment horizontal="center" vertical="top" wrapText="1"/>
    </xf>
    <xf numFmtId="0" fontId="2" fillId="0" borderId="0" xfId="5" applyFont="1" applyAlignment="1">
      <alignment horizontal="center" vertical="top"/>
    </xf>
    <xf numFmtId="0" fontId="5" fillId="8" borderId="19" xfId="0" applyFont="1" applyFill="1" applyBorder="1" applyAlignment="1">
      <alignment horizontal="center" vertical="top"/>
    </xf>
    <xf numFmtId="0" fontId="5" fillId="2" borderId="0" xfId="0" applyFont="1" applyFill="1" applyBorder="1" applyAlignment="1">
      <alignment horizontal="center" vertical="top"/>
    </xf>
    <xf numFmtId="0" fontId="9" fillId="2" borderId="0" xfId="0" applyFont="1" applyFill="1" applyBorder="1" applyAlignment="1">
      <alignment horizontal="center" vertical="top"/>
    </xf>
    <xf numFmtId="0" fontId="9" fillId="3" borderId="8" xfId="0" applyFont="1" applyFill="1" applyBorder="1" applyAlignment="1">
      <alignment horizontal="center" vertical="top"/>
    </xf>
    <xf numFmtId="0" fontId="9" fillId="6" borderId="8" xfId="0" applyFont="1" applyFill="1" applyBorder="1" applyAlignment="1">
      <alignment horizontal="center" vertical="top"/>
    </xf>
    <xf numFmtId="0" fontId="9" fillId="6" borderId="0" xfId="0" applyFont="1" applyFill="1" applyBorder="1" applyAlignment="1">
      <alignment horizontal="center" vertical="top"/>
    </xf>
    <xf numFmtId="0" fontId="9" fillId="6" borderId="15" xfId="0" applyFont="1" applyFill="1" applyBorder="1" applyAlignment="1">
      <alignment horizontal="center" vertical="top"/>
    </xf>
    <xf numFmtId="0" fontId="9" fillId="8" borderId="8" xfId="0" applyFont="1" applyFill="1" applyBorder="1" applyAlignment="1">
      <alignment horizontal="center" vertical="top"/>
    </xf>
    <xf numFmtId="0" fontId="9" fillId="3" borderId="19" xfId="0" applyFont="1" applyFill="1" applyBorder="1" applyAlignment="1">
      <alignment horizontal="center" vertical="top"/>
    </xf>
    <xf numFmtId="0" fontId="14" fillId="6" borderId="0" xfId="5" applyFont="1" applyFill="1" applyBorder="1" applyAlignment="1">
      <alignment horizontal="center" vertical="top"/>
    </xf>
    <xf numFmtId="0" fontId="14" fillId="6" borderId="15" xfId="5" applyFont="1" applyFill="1" applyBorder="1" applyAlignment="1">
      <alignment horizontal="center" vertical="top"/>
    </xf>
    <xf numFmtId="0" fontId="14" fillId="8" borderId="19" xfId="5" applyFont="1" applyFill="1" applyBorder="1" applyAlignment="1">
      <alignment horizontal="center" vertical="top"/>
    </xf>
    <xf numFmtId="0" fontId="14" fillId="2" borderId="0" xfId="5" applyFont="1" applyFill="1" applyBorder="1" applyAlignment="1">
      <alignment horizontal="center" vertical="top"/>
    </xf>
    <xf numFmtId="0" fontId="14" fillId="3" borderId="19" xfId="5" applyFont="1" applyFill="1" applyBorder="1" applyAlignment="1">
      <alignment horizontal="center" vertical="top"/>
    </xf>
    <xf numFmtId="0" fontId="5" fillId="6" borderId="8" xfId="0" applyFont="1" applyFill="1" applyBorder="1" applyAlignment="1">
      <alignment horizontal="center" vertical="top"/>
    </xf>
    <xf numFmtId="0" fontId="5" fillId="6" borderId="15" xfId="0" applyFont="1" applyFill="1" applyBorder="1" applyAlignment="1">
      <alignment horizontal="center" vertical="top"/>
    </xf>
    <xf numFmtId="0" fontId="12" fillId="2" borderId="14" xfId="0" applyFont="1" applyFill="1" applyBorder="1" applyAlignment="1">
      <alignment vertical="top" wrapText="1"/>
    </xf>
    <xf numFmtId="166" fontId="12" fillId="2" borderId="15" xfId="1" applyNumberFormat="1" applyFont="1" applyFill="1" applyBorder="1" applyAlignment="1">
      <alignment vertical="top"/>
    </xf>
    <xf numFmtId="1" fontId="12" fillId="2" borderId="15" xfId="0" applyNumberFormat="1" applyFont="1" applyFill="1" applyBorder="1" applyAlignment="1">
      <alignment vertical="top"/>
    </xf>
    <xf numFmtId="0" fontId="12" fillId="2" borderId="15" xfId="0" applyFont="1" applyFill="1" applyBorder="1" applyAlignment="1">
      <alignment vertical="top"/>
    </xf>
    <xf numFmtId="0" fontId="12" fillId="2" borderId="15" xfId="0" applyFont="1" applyFill="1" applyBorder="1" applyAlignment="1">
      <alignment horizontal="center" vertical="top"/>
    </xf>
    <xf numFmtId="0" fontId="12" fillId="2" borderId="15" xfId="0" applyFont="1" applyFill="1" applyBorder="1" applyAlignment="1">
      <alignment vertical="top" wrapText="1"/>
    </xf>
    <xf numFmtId="0" fontId="9" fillId="6" borderId="11" xfId="0" applyFont="1" applyFill="1" applyBorder="1" applyAlignment="1">
      <alignment horizontal="right" vertical="top" wrapText="1"/>
    </xf>
    <xf numFmtId="43" fontId="9" fillId="6" borderId="0" xfId="1" applyNumberFormat="1" applyFont="1" applyFill="1" applyBorder="1" applyAlignment="1">
      <alignment horizontal="right" vertical="top"/>
    </xf>
    <xf numFmtId="169" fontId="9" fillId="6" borderId="0" xfId="1" applyNumberFormat="1" applyFont="1" applyFill="1" applyBorder="1" applyAlignment="1">
      <alignment vertical="top"/>
    </xf>
    <xf numFmtId="169" fontId="9" fillId="6" borderId="0" xfId="1" applyNumberFormat="1" applyFont="1" applyFill="1" applyBorder="1" applyAlignment="1">
      <alignment horizontal="right" vertical="top"/>
    </xf>
    <xf numFmtId="7" fontId="9" fillId="2" borderId="0" xfId="1" applyNumberFormat="1" applyFont="1" applyFill="1" applyBorder="1" applyAlignment="1">
      <alignment vertical="top"/>
    </xf>
    <xf numFmtId="0" fontId="24" fillId="0" borderId="0" xfId="0" applyFont="1" applyBorder="1" applyAlignment="1">
      <alignment vertical="center"/>
    </xf>
    <xf numFmtId="0" fontId="0" fillId="0" borderId="0" xfId="0" applyFont="1" applyBorder="1" applyAlignment="1">
      <alignment vertical="center" wrapText="1"/>
    </xf>
    <xf numFmtId="0" fontId="0" fillId="0" borderId="43" xfId="0" applyFont="1" applyBorder="1" applyAlignment="1">
      <alignment horizontal="center" vertical="center"/>
    </xf>
    <xf numFmtId="0" fontId="24" fillId="22" borderId="1" xfId="0" applyFont="1" applyFill="1" applyBorder="1" applyAlignment="1">
      <alignment horizontal="center" vertical="center" wrapText="1"/>
    </xf>
    <xf numFmtId="0" fontId="0" fillId="0" borderId="0" xfId="0" applyFont="1" applyFill="1" applyBorder="1" applyAlignment="1">
      <alignment vertical="center"/>
    </xf>
    <xf numFmtId="0" fontId="0" fillId="0" borderId="39" xfId="0" applyFill="1" applyBorder="1" applyAlignment="1">
      <alignment vertical="center"/>
    </xf>
    <xf numFmtId="0" fontId="0" fillId="19" borderId="37" xfId="0" applyFont="1" applyFill="1" applyBorder="1" applyAlignment="1">
      <alignment horizontal="center" vertical="center"/>
    </xf>
    <xf numFmtId="0" fontId="24" fillId="19" borderId="0" xfId="0" applyFont="1" applyFill="1" applyBorder="1" applyAlignment="1">
      <alignment horizontal="center" vertical="center" wrapText="1"/>
    </xf>
    <xf numFmtId="0" fontId="0" fillId="19" borderId="35" xfId="0" applyFill="1" applyBorder="1" applyAlignment="1">
      <alignment vertical="center"/>
    </xf>
    <xf numFmtId="0" fontId="0" fillId="19" borderId="25" xfId="0" applyFill="1" applyBorder="1" applyAlignment="1">
      <alignment horizontal="center" vertical="center"/>
    </xf>
    <xf numFmtId="0" fontId="0" fillId="19" borderId="0" xfId="0" applyFont="1" applyFill="1" applyBorder="1" applyAlignment="1">
      <alignment vertical="center" wrapText="1"/>
    </xf>
    <xf numFmtId="0" fontId="0" fillId="19" borderId="0" xfId="0" applyFont="1" applyFill="1" applyBorder="1" applyAlignment="1">
      <alignment vertical="center"/>
    </xf>
    <xf numFmtId="170" fontId="0" fillId="19" borderId="0" xfId="0" applyNumberFormat="1" applyFont="1" applyFill="1" applyBorder="1" applyAlignment="1">
      <alignment vertical="center"/>
    </xf>
    <xf numFmtId="0" fontId="0" fillId="19" borderId="39" xfId="0" applyFill="1" applyBorder="1" applyAlignment="1">
      <alignment vertical="center"/>
    </xf>
    <xf numFmtId="165" fontId="0" fillId="19" borderId="36" xfId="0" applyNumberFormat="1" applyFill="1" applyBorder="1" applyAlignment="1">
      <alignment horizontal="center" vertical="center"/>
    </xf>
    <xf numFmtId="179" fontId="9" fillId="6" borderId="0" xfId="1" applyNumberFormat="1" applyFont="1" applyFill="1" applyBorder="1" applyAlignment="1">
      <alignment vertical="top"/>
    </xf>
    <xf numFmtId="165" fontId="0" fillId="0" borderId="40" xfId="0" applyNumberFormat="1" applyFill="1" applyBorder="1" applyAlignment="1">
      <alignment horizontal="center" vertical="center"/>
    </xf>
    <xf numFmtId="0" fontId="0" fillId="0" borderId="42" xfId="0" applyFill="1" applyBorder="1" applyAlignment="1">
      <alignment horizontal="center" vertical="center"/>
    </xf>
    <xf numFmtId="0" fontId="0" fillId="19" borderId="45" xfId="0" applyFont="1" applyFill="1" applyBorder="1" applyAlignment="1">
      <alignment vertical="center"/>
    </xf>
    <xf numFmtId="165" fontId="0" fillId="19" borderId="46" xfId="0" applyNumberFormat="1" applyFont="1" applyFill="1" applyBorder="1" applyAlignment="1">
      <alignment horizontal="center" vertical="center"/>
    </xf>
    <xf numFmtId="0" fontId="0" fillId="19" borderId="5" xfId="0" applyFont="1" applyFill="1" applyBorder="1" applyAlignment="1">
      <alignment horizontal="center" vertical="center"/>
    </xf>
    <xf numFmtId="165" fontId="0" fillId="19" borderId="53" xfId="0" applyNumberFormat="1" applyFont="1" applyFill="1" applyBorder="1" applyAlignment="1">
      <alignment horizontal="center" vertical="center"/>
    </xf>
    <xf numFmtId="0" fontId="24" fillId="0" borderId="54"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52" xfId="0" applyFont="1" applyBorder="1" applyAlignment="1">
      <alignment horizontal="center" vertical="center" wrapText="1"/>
    </xf>
    <xf numFmtId="0" fontId="0" fillId="19" borderId="43" xfId="0" applyFont="1" applyFill="1" applyBorder="1" applyAlignment="1">
      <alignment horizontal="center" vertical="center"/>
    </xf>
    <xf numFmtId="0" fontId="34" fillId="0" borderId="56" xfId="0" applyFont="1" applyFill="1" applyBorder="1" applyAlignment="1">
      <alignment horizontal="center" vertical="center" wrapText="1"/>
    </xf>
    <xf numFmtId="0" fontId="34" fillId="0" borderId="54" xfId="0" applyFont="1" applyFill="1" applyBorder="1" applyAlignment="1">
      <alignment horizontal="center" vertical="center" wrapText="1"/>
    </xf>
    <xf numFmtId="0" fontId="34" fillId="0" borderId="57" xfId="0" applyFont="1" applyFill="1" applyBorder="1" applyAlignment="1">
      <alignment horizontal="center" vertical="center" wrapText="1"/>
    </xf>
    <xf numFmtId="0" fontId="24" fillId="0" borderId="50" xfId="0" applyFont="1" applyFill="1" applyBorder="1" applyAlignment="1">
      <alignment horizontal="center" vertical="center" wrapText="1"/>
    </xf>
    <xf numFmtId="0" fontId="9" fillId="6" borderId="0" xfId="0" applyFont="1" applyFill="1" applyBorder="1" applyAlignment="1">
      <alignment horizontal="left" vertical="top" wrapText="1"/>
    </xf>
    <xf numFmtId="0" fontId="9" fillId="6" borderId="12" xfId="0" applyFont="1" applyFill="1" applyBorder="1" applyAlignment="1">
      <alignment horizontal="left" vertical="top" wrapText="1"/>
    </xf>
    <xf numFmtId="0" fontId="0" fillId="0" borderId="0" xfId="0" applyAlignment="1"/>
    <xf numFmtId="0" fontId="9" fillId="6" borderId="12" xfId="0" applyFont="1" applyFill="1" applyBorder="1" applyAlignment="1">
      <alignment horizontal="left" wrapText="1"/>
    </xf>
    <xf numFmtId="179" fontId="9" fillId="6" borderId="0" xfId="1" applyNumberFormat="1" applyFont="1" applyFill="1" applyBorder="1" applyAlignment="1">
      <alignment horizontal="right" vertical="top"/>
    </xf>
    <xf numFmtId="5" fontId="9" fillId="6" borderId="0" xfId="1" applyNumberFormat="1" applyFont="1" applyFill="1" applyBorder="1" applyAlignment="1">
      <alignment vertical="top"/>
    </xf>
    <xf numFmtId="0" fontId="20" fillId="6" borderId="0" xfId="0" applyFont="1" applyFill="1" applyBorder="1" applyAlignment="1">
      <alignment vertical="top" wrapText="1"/>
    </xf>
    <xf numFmtId="0" fontId="9" fillId="6" borderId="7" xfId="0" applyFont="1" applyFill="1" applyBorder="1" applyAlignment="1">
      <alignment vertical="top" wrapText="1"/>
    </xf>
    <xf numFmtId="1" fontId="9" fillId="6" borderId="8" xfId="0" applyNumberFormat="1" applyFont="1" applyFill="1" applyBorder="1" applyAlignment="1">
      <alignment vertical="top"/>
    </xf>
    <xf numFmtId="169" fontId="9" fillId="6" borderId="11" xfId="1" applyNumberFormat="1" applyFont="1" applyFill="1" applyBorder="1" applyAlignment="1">
      <alignment horizontal="right" vertical="top"/>
    </xf>
    <xf numFmtId="169" fontId="9" fillId="6" borderId="12" xfId="1" applyNumberFormat="1" applyFont="1" applyFill="1" applyBorder="1" applyAlignment="1">
      <alignment horizontal="right" vertical="top"/>
    </xf>
    <xf numFmtId="180" fontId="9" fillId="2" borderId="0" xfId="2" applyNumberFormat="1" applyFont="1" applyFill="1" applyBorder="1" applyAlignment="1">
      <alignment vertical="top"/>
    </xf>
    <xf numFmtId="5" fontId="9" fillId="2" borderId="0" xfId="1" applyNumberFormat="1" applyFont="1" applyFill="1" applyBorder="1" applyAlignment="1">
      <alignment vertical="top"/>
    </xf>
    <xf numFmtId="0" fontId="14" fillId="2" borderId="11" xfId="5" quotePrefix="1" applyFont="1" applyFill="1" applyBorder="1" applyAlignment="1">
      <alignment vertical="top" wrapText="1"/>
    </xf>
    <xf numFmtId="0" fontId="33" fillId="2" borderId="11" xfId="5" applyFont="1" applyFill="1" applyBorder="1" applyAlignment="1">
      <alignment vertical="top" wrapText="1"/>
    </xf>
    <xf numFmtId="0" fontId="0" fillId="0" borderId="0" xfId="0" applyFont="1" applyAlignment="1">
      <alignment vertical="center"/>
    </xf>
    <xf numFmtId="0" fontId="0" fillId="0" borderId="0" xfId="0" applyFont="1" applyAlignment="1">
      <alignment vertical="center" wrapText="1"/>
    </xf>
    <xf numFmtId="0" fontId="34" fillId="22"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0" fillId="0" borderId="1" xfId="0" applyFont="1" applyBorder="1" applyAlignment="1">
      <alignment horizontal="center" vertical="center" wrapText="1"/>
    </xf>
    <xf numFmtId="165" fontId="0" fillId="0" borderId="1" xfId="0" applyNumberFormat="1" applyFont="1" applyBorder="1" applyAlignment="1">
      <alignment horizontal="center" vertical="center"/>
    </xf>
    <xf numFmtId="6" fontId="0" fillId="0" borderId="1" xfId="0" applyNumberFormat="1" applyFont="1" applyBorder="1" applyAlignment="1">
      <alignment horizontal="center" vertical="center" wrapText="1"/>
    </xf>
    <xf numFmtId="0" fontId="38" fillId="0" borderId="31" xfId="0" applyFont="1" applyBorder="1" applyAlignment="1">
      <alignment vertical="center" textRotation="90"/>
    </xf>
    <xf numFmtId="0" fontId="24" fillId="22" borderId="23" xfId="0" applyFont="1" applyFill="1" applyBorder="1" applyAlignment="1">
      <alignment horizontal="center" vertical="center"/>
    </xf>
    <xf numFmtId="0" fontId="24" fillId="22" borderId="1" xfId="0" applyFont="1" applyFill="1" applyBorder="1" applyAlignment="1">
      <alignment horizontal="center" vertical="center"/>
    </xf>
    <xf numFmtId="0" fontId="38" fillId="0" borderId="33" xfId="0" applyFont="1" applyBorder="1" applyAlignment="1">
      <alignment vertical="center" textRotation="90"/>
    </xf>
    <xf numFmtId="0" fontId="24" fillId="22" borderId="23" xfId="0" applyFont="1" applyFill="1" applyBorder="1" applyAlignment="1">
      <alignment horizontal="center" vertical="center" wrapText="1"/>
    </xf>
    <xf numFmtId="0" fontId="38" fillId="0" borderId="29" xfId="0" applyFont="1" applyBorder="1" applyAlignment="1">
      <alignment vertical="center" textRotation="90"/>
    </xf>
    <xf numFmtId="0" fontId="24" fillId="0" borderId="1" xfId="0" applyFont="1" applyFill="1" applyBorder="1" applyAlignment="1">
      <alignment horizontal="right" vertical="center" wrapText="1"/>
    </xf>
    <xf numFmtId="6" fontId="24" fillId="0" borderId="1" xfId="0" applyNumberFormat="1" applyFont="1" applyBorder="1" applyAlignment="1">
      <alignment vertical="center"/>
    </xf>
    <xf numFmtId="3" fontId="0" fillId="20" borderId="1" xfId="0" applyNumberFormat="1" applyFont="1" applyFill="1" applyBorder="1" applyAlignment="1">
      <alignment vertical="center"/>
    </xf>
    <xf numFmtId="166" fontId="0" fillId="20" borderId="1" xfId="1" applyNumberFormat="1" applyFont="1" applyFill="1" applyBorder="1" applyAlignment="1">
      <alignment vertical="center"/>
    </xf>
    <xf numFmtId="0" fontId="24" fillId="20" borderId="1" xfId="0" applyFont="1" applyFill="1" applyBorder="1" applyAlignment="1">
      <alignment horizontal="center" vertical="center" wrapText="1"/>
    </xf>
    <xf numFmtId="3" fontId="24" fillId="0" borderId="0" xfId="0" applyNumberFormat="1" applyFont="1" applyFill="1" applyBorder="1" applyAlignment="1">
      <alignment horizontal="center" vertical="center"/>
    </xf>
    <xf numFmtId="166" fontId="12" fillId="2" borderId="0" xfId="1" applyNumberFormat="1" applyFont="1" applyFill="1" applyBorder="1" applyAlignment="1">
      <alignment vertical="top"/>
    </xf>
    <xf numFmtId="43" fontId="9" fillId="6" borderId="0" xfId="0" applyNumberFormat="1" applyFont="1" applyFill="1" applyBorder="1" applyAlignment="1">
      <alignment horizontal="right" vertical="top"/>
    </xf>
    <xf numFmtId="0" fontId="0" fillId="0" borderId="0" xfId="0"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0" borderId="0" xfId="0" applyFont="1" applyFill="1" applyBorder="1" applyAlignment="1">
      <alignment horizontal="center" vertical="center" wrapText="1"/>
    </xf>
    <xf numFmtId="0" fontId="0" fillId="0" borderId="0" xfId="0" applyAlignment="1">
      <alignment horizontal="center" vertical="center"/>
    </xf>
    <xf numFmtId="0" fontId="24" fillId="0" borderId="1" xfId="0" applyFont="1" applyFill="1" applyBorder="1" applyAlignment="1">
      <alignment horizontal="right" vertical="center"/>
    </xf>
    <xf numFmtId="0" fontId="24" fillId="0" borderId="0" xfId="0" applyFont="1" applyFill="1" applyBorder="1" applyAlignment="1">
      <alignment vertical="center"/>
    </xf>
    <xf numFmtId="0" fontId="0" fillId="0" borderId="1" xfId="0" applyBorder="1" applyAlignment="1">
      <alignment horizontal="center" vertical="center"/>
    </xf>
    <xf numFmtId="0" fontId="0" fillId="0" borderId="0" xfId="0" applyFill="1" applyAlignment="1">
      <alignment vertical="center"/>
    </xf>
    <xf numFmtId="168" fontId="0" fillId="0" borderId="0" xfId="8" applyNumberFormat="1" applyFont="1" applyFill="1" applyBorder="1" applyAlignment="1">
      <alignment horizontal="center" vertical="center"/>
    </xf>
    <xf numFmtId="0" fontId="0" fillId="0" borderId="0" xfId="0" applyFill="1" applyBorder="1" applyAlignment="1">
      <alignment vertical="center"/>
    </xf>
    <xf numFmtId="0" fontId="0" fillId="0" borderId="1" xfId="0" applyFont="1" applyFill="1" applyBorder="1" applyAlignment="1">
      <alignment vertical="center" wrapText="1"/>
    </xf>
    <xf numFmtId="0" fontId="0" fillId="0" borderId="0" xfId="0" applyBorder="1" applyAlignment="1">
      <alignment vertical="center"/>
    </xf>
    <xf numFmtId="0" fontId="0" fillId="0" borderId="1" xfId="0" applyFont="1" applyBorder="1" applyAlignment="1">
      <alignment vertical="center"/>
    </xf>
    <xf numFmtId="182" fontId="0" fillId="0" borderId="1" xfId="0" applyNumberFormat="1" applyBorder="1" applyAlignment="1">
      <alignment horizontal="center" vertical="center"/>
    </xf>
    <xf numFmtId="0" fontId="0" fillId="0" borderId="1" xfId="0" applyFont="1" applyBorder="1" applyAlignment="1">
      <alignment vertical="center" wrapText="1"/>
    </xf>
    <xf numFmtId="0" fontId="0" fillId="0" borderId="1" xfId="0" applyFont="1" applyFill="1" applyBorder="1" applyAlignment="1">
      <alignment vertical="center"/>
    </xf>
    <xf numFmtId="0" fontId="24" fillId="0" borderId="0" xfId="0" applyFont="1" applyFill="1" applyAlignment="1">
      <alignment vertical="center"/>
    </xf>
    <xf numFmtId="0" fontId="0" fillId="0" borderId="0" xfId="0" applyFill="1" applyAlignment="1">
      <alignment horizontal="center" vertical="center"/>
    </xf>
    <xf numFmtId="0" fontId="0" fillId="0" borderId="35" xfId="0" applyFont="1" applyFill="1" applyBorder="1" applyAlignment="1">
      <alignment vertical="center"/>
    </xf>
    <xf numFmtId="0" fontId="0" fillId="0" borderId="45" xfId="0" applyFont="1" applyFill="1" applyBorder="1" applyAlignment="1">
      <alignment vertical="center"/>
    </xf>
    <xf numFmtId="0" fontId="24" fillId="0" borderId="35" xfId="0" applyFont="1" applyFill="1" applyBorder="1" applyAlignment="1">
      <alignment horizontal="left" vertical="center" wrapText="1"/>
    </xf>
    <xf numFmtId="0" fontId="24" fillId="0" borderId="61" xfId="0" applyFont="1" applyFill="1" applyBorder="1" applyAlignment="1">
      <alignment horizontal="left" vertical="center" wrapText="1"/>
    </xf>
    <xf numFmtId="0" fontId="24" fillId="22" borderId="39" xfId="0" applyFont="1" applyFill="1" applyBorder="1" applyAlignment="1">
      <alignment vertical="center"/>
    </xf>
    <xf numFmtId="0" fontId="24" fillId="0" borderId="0" xfId="0" applyFont="1" applyFill="1" applyBorder="1" applyAlignment="1">
      <alignment horizontal="right" vertical="center"/>
    </xf>
    <xf numFmtId="0" fontId="24" fillId="0" borderId="0" xfId="0" applyFont="1" applyBorder="1" applyAlignment="1">
      <alignment horizontal="center" vertical="center"/>
    </xf>
    <xf numFmtId="166" fontId="24" fillId="0" borderId="54" xfId="1" applyNumberFormat="1" applyFont="1" applyFill="1" applyBorder="1" applyAlignment="1">
      <alignment horizontal="center" vertical="center"/>
    </xf>
    <xf numFmtId="166" fontId="24" fillId="0" borderId="60" xfId="1" applyNumberFormat="1" applyFont="1" applyFill="1" applyBorder="1" applyAlignment="1">
      <alignment horizontal="center" vertical="center"/>
    </xf>
    <xf numFmtId="166" fontId="24" fillId="0" borderId="57" xfId="1" applyNumberFormat="1" applyFont="1" applyFill="1" applyBorder="1" applyAlignment="1">
      <alignment horizontal="center" vertical="center"/>
    </xf>
    <xf numFmtId="0" fontId="24" fillId="24" borderId="1" xfId="0" applyFont="1" applyFill="1" applyBorder="1" applyAlignment="1">
      <alignment horizontal="center" vertical="center"/>
    </xf>
    <xf numFmtId="172" fontId="0" fillId="0" borderId="46" xfId="0" applyNumberFormat="1" applyFill="1" applyBorder="1" applyAlignment="1">
      <alignment horizontal="center" vertical="center"/>
    </xf>
    <xf numFmtId="172" fontId="0" fillId="0" borderId="29" xfId="0" applyNumberFormat="1" applyFill="1" applyBorder="1" applyAlignment="1">
      <alignment horizontal="center" vertical="center"/>
    </xf>
    <xf numFmtId="172" fontId="0" fillId="0" borderId="47" xfId="0" applyNumberFormat="1" applyFill="1" applyBorder="1" applyAlignment="1">
      <alignment horizontal="center" vertical="center"/>
    </xf>
    <xf numFmtId="172" fontId="0" fillId="0" borderId="36" xfId="0" applyNumberFormat="1" applyFill="1" applyBorder="1" applyAlignment="1">
      <alignment horizontal="center" vertical="center"/>
    </xf>
    <xf numFmtId="172" fontId="0" fillId="0" borderId="1" xfId="0" applyNumberFormat="1" applyFill="1" applyBorder="1" applyAlignment="1">
      <alignment horizontal="center" vertical="center"/>
    </xf>
    <xf numFmtId="172" fontId="0" fillId="0" borderId="38" xfId="0" applyNumberFormat="1" applyFill="1" applyBorder="1" applyAlignment="1">
      <alignment horizontal="center" vertical="center"/>
    </xf>
    <xf numFmtId="172" fontId="0" fillId="0" borderId="62" xfId="0" applyNumberFormat="1" applyFill="1" applyBorder="1" applyAlignment="1">
      <alignment horizontal="center" vertical="center"/>
    </xf>
    <xf numFmtId="172" fontId="0" fillId="0" borderId="31" xfId="0" applyNumberFormat="1" applyFill="1" applyBorder="1" applyAlignment="1">
      <alignment horizontal="center" vertical="center"/>
    </xf>
    <xf numFmtId="172" fontId="0" fillId="0" borderId="63" xfId="0" applyNumberFormat="1" applyFill="1" applyBorder="1" applyAlignment="1">
      <alignment horizontal="center" vertical="center"/>
    </xf>
    <xf numFmtId="172" fontId="24" fillId="22" borderId="40" xfId="0" applyNumberFormat="1" applyFont="1" applyFill="1" applyBorder="1" applyAlignment="1">
      <alignment horizontal="center" vertical="center"/>
    </xf>
    <xf numFmtId="172" fontId="24" fillId="22" borderId="41" xfId="0" applyNumberFormat="1" applyFont="1" applyFill="1" applyBorder="1" applyAlignment="1">
      <alignment horizontal="center" vertical="center"/>
    </xf>
    <xf numFmtId="0" fontId="40" fillId="0" borderId="0" xfId="0" applyFont="1" applyAlignment="1">
      <alignment vertical="center"/>
    </xf>
    <xf numFmtId="0" fontId="38" fillId="0" borderId="0" xfId="0" applyFont="1" applyAlignment="1">
      <alignment vertical="center"/>
    </xf>
    <xf numFmtId="0" fontId="41" fillId="0" borderId="0" xfId="0" applyFont="1" applyAlignment="1">
      <alignment vertical="center"/>
    </xf>
    <xf numFmtId="168" fontId="0" fillId="0" borderId="0" xfId="0" applyNumberFormat="1" applyFill="1" applyBorder="1" applyAlignment="1">
      <alignment horizontal="center" vertical="center"/>
    </xf>
    <xf numFmtId="9" fontId="0" fillId="0" borderId="0" xfId="8" applyFont="1" applyFill="1" applyBorder="1" applyAlignment="1">
      <alignment vertical="center"/>
    </xf>
    <xf numFmtId="168" fontId="24" fillId="0" borderId="0" xfId="0" applyNumberFormat="1" applyFont="1" applyFill="1" applyBorder="1" applyAlignment="1">
      <alignment horizontal="center" vertical="center"/>
    </xf>
    <xf numFmtId="9" fontId="24" fillId="0" borderId="0" xfId="0" applyNumberFormat="1" applyFont="1" applyFill="1" applyBorder="1" applyAlignment="1">
      <alignment vertical="center"/>
    </xf>
    <xf numFmtId="0" fontId="24" fillId="0" borderId="0" xfId="0" applyFont="1" applyFill="1" applyBorder="1" applyAlignment="1">
      <alignment horizontal="center" vertical="center" wrapText="1"/>
    </xf>
    <xf numFmtId="182" fontId="0" fillId="0" borderId="0" xfId="0" applyNumberFormat="1" applyFill="1" applyBorder="1" applyAlignment="1">
      <alignment horizontal="center" vertical="center"/>
    </xf>
    <xf numFmtId="0" fontId="0" fillId="0" borderId="0" xfId="0" applyFont="1" applyFill="1" applyBorder="1" applyAlignment="1">
      <alignment vertical="center" wrapText="1"/>
    </xf>
    <xf numFmtId="182" fontId="24" fillId="0" borderId="0" xfId="0" applyNumberFormat="1" applyFont="1" applyFill="1" applyBorder="1" applyAlignment="1">
      <alignment horizontal="center" vertical="center"/>
    </xf>
    <xf numFmtId="0" fontId="42" fillId="0" borderId="0" xfId="111" applyAlignment="1">
      <alignment vertical="center"/>
    </xf>
    <xf numFmtId="0" fontId="0" fillId="0" borderId="0" xfId="0" applyAlignment="1">
      <alignment vertical="center" wrapText="1"/>
    </xf>
    <xf numFmtId="0" fontId="0" fillId="0" borderId="0" xfId="0" applyAlignment="1">
      <alignment horizontal="center" vertical="center" wrapText="1"/>
    </xf>
    <xf numFmtId="182" fontId="24" fillId="23" borderId="1" xfId="0" applyNumberFormat="1" applyFont="1" applyFill="1" applyBorder="1" applyAlignment="1">
      <alignment horizontal="center" vertical="center"/>
    </xf>
    <xf numFmtId="3" fontId="0" fillId="0" borderId="0" xfId="0" applyNumberFormat="1" applyAlignment="1">
      <alignment horizontal="center" vertical="center" wrapText="1"/>
    </xf>
    <xf numFmtId="166" fontId="0" fillId="0" borderId="0" xfId="1" applyNumberFormat="1" applyFont="1" applyAlignment="1">
      <alignment vertical="center"/>
    </xf>
    <xf numFmtId="0" fontId="45" fillId="0" borderId="0" xfId="0" applyFont="1" applyFill="1" applyBorder="1" applyAlignment="1">
      <alignment horizontal="center" vertical="center" wrapText="1"/>
    </xf>
    <xf numFmtId="0" fontId="43" fillId="0" borderId="1" xfId="0" applyFont="1" applyBorder="1" applyAlignment="1">
      <alignment vertical="center" wrapText="1"/>
    </xf>
    <xf numFmtId="0" fontId="40" fillId="0" borderId="0" xfId="0" applyFont="1" applyBorder="1" applyAlignment="1">
      <alignment horizontal="center" vertical="center" wrapText="1"/>
    </xf>
    <xf numFmtId="0" fontId="43" fillId="0" borderId="0" xfId="0" applyFont="1" applyAlignment="1">
      <alignment horizontal="left" vertical="center" wrapText="1"/>
    </xf>
    <xf numFmtId="0" fontId="40" fillId="0" borderId="1" xfId="0" applyFont="1" applyBorder="1" applyAlignment="1">
      <alignment vertical="center" wrapText="1"/>
    </xf>
    <xf numFmtId="164" fontId="43" fillId="0" borderId="1" xfId="0" applyNumberFormat="1" applyFont="1" applyBorder="1" applyAlignment="1">
      <alignment horizontal="center" vertical="center" wrapText="1"/>
    </xf>
    <xf numFmtId="164" fontId="40" fillId="0" borderId="1" xfId="0" applyNumberFormat="1" applyFont="1" applyBorder="1" applyAlignment="1">
      <alignment horizontal="center" vertical="center" wrapText="1"/>
    </xf>
    <xf numFmtId="0" fontId="9" fillId="6" borderId="11" xfId="0" quotePrefix="1" applyFont="1" applyFill="1" applyBorder="1" applyAlignment="1">
      <alignment horizontal="right" vertical="top" wrapText="1"/>
    </xf>
    <xf numFmtId="0" fontId="33" fillId="6" borderId="11" xfId="0" applyFont="1" applyFill="1" applyBorder="1" applyAlignment="1">
      <alignment vertical="top" wrapText="1"/>
    </xf>
    <xf numFmtId="0" fontId="43" fillId="0" borderId="0" xfId="0" applyFont="1" applyAlignment="1">
      <alignment vertical="center"/>
    </xf>
    <xf numFmtId="0" fontId="43" fillId="0" borderId="0" xfId="0" applyFont="1" applyBorder="1" applyAlignment="1">
      <alignment vertical="center"/>
    </xf>
    <xf numFmtId="0" fontId="43" fillId="0" borderId="1" xfId="0" applyFont="1" applyBorder="1" applyAlignment="1">
      <alignment vertical="center"/>
    </xf>
    <xf numFmtId="178" fontId="43" fillId="0" borderId="0" xfId="0" applyNumberFormat="1" applyFont="1" applyBorder="1" applyAlignment="1">
      <alignment vertical="center"/>
    </xf>
    <xf numFmtId="0" fontId="43" fillId="0" borderId="0" xfId="0" applyFont="1" applyAlignment="1">
      <alignment vertical="center" wrapText="1"/>
    </xf>
    <xf numFmtId="0" fontId="40" fillId="24" borderId="31" xfId="0" applyFont="1" applyFill="1" applyBorder="1" applyAlignment="1">
      <alignment horizontal="center" vertical="center" wrapText="1"/>
    </xf>
    <xf numFmtId="0" fontId="43" fillId="0" borderId="1" xfId="0" applyFont="1" applyFill="1" applyBorder="1" applyAlignment="1">
      <alignment vertical="center" wrapText="1"/>
    </xf>
    <xf numFmtId="0" fontId="43" fillId="0" borderId="0" xfId="0" applyFont="1" applyFill="1" applyAlignment="1">
      <alignment vertical="center"/>
    </xf>
    <xf numFmtId="0" fontId="24" fillId="22" borderId="48" xfId="0" applyFont="1" applyFill="1" applyBorder="1" applyAlignment="1">
      <alignment horizontal="center" vertical="center"/>
    </xf>
    <xf numFmtId="0" fontId="24" fillId="22" borderId="49" xfId="0" applyFont="1" applyFill="1" applyBorder="1" applyAlignment="1">
      <alignment horizontal="center" vertical="center"/>
    </xf>
    <xf numFmtId="0" fontId="24" fillId="22" borderId="50" xfId="0" applyFont="1" applyFill="1" applyBorder="1" applyAlignment="1">
      <alignment horizontal="center" vertical="center"/>
    </xf>
    <xf numFmtId="0" fontId="24" fillId="22" borderId="51" xfId="0" applyFont="1" applyFill="1" applyBorder="1" applyAlignment="1">
      <alignment horizontal="center" vertical="center"/>
    </xf>
    <xf numFmtId="0" fontId="0" fillId="0" borderId="45" xfId="0" applyBorder="1" applyAlignment="1">
      <alignment vertical="center"/>
    </xf>
    <xf numFmtId="165" fontId="0" fillId="21" borderId="46" xfId="0" applyNumberFormat="1" applyFill="1" applyBorder="1" applyAlignment="1">
      <alignment vertical="center"/>
    </xf>
    <xf numFmtId="165" fontId="0" fillId="21" borderId="29" xfId="0" applyNumberFormat="1" applyFill="1" applyBorder="1" applyAlignment="1">
      <alignment vertical="center"/>
    </xf>
    <xf numFmtId="165" fontId="0" fillId="9" borderId="29" xfId="0" applyNumberFormat="1" applyFill="1" applyBorder="1" applyAlignment="1">
      <alignment vertical="center"/>
    </xf>
    <xf numFmtId="165" fontId="0" fillId="0" borderId="47" xfId="0" applyNumberFormat="1" applyBorder="1" applyAlignment="1">
      <alignment vertical="center"/>
    </xf>
    <xf numFmtId="0" fontId="0" fillId="0" borderId="35" xfId="0" applyBorder="1" applyAlignment="1">
      <alignment vertical="center"/>
    </xf>
    <xf numFmtId="165" fontId="0" fillId="21" borderId="36" xfId="0" applyNumberFormat="1" applyFill="1" applyBorder="1" applyAlignment="1">
      <alignment vertical="center"/>
    </xf>
    <xf numFmtId="165" fontId="0" fillId="21" borderId="1" xfId="0" applyNumberFormat="1" applyFill="1" applyBorder="1" applyAlignment="1">
      <alignment vertical="center"/>
    </xf>
    <xf numFmtId="165" fontId="0" fillId="9" borderId="1" xfId="0" applyNumberFormat="1" applyFill="1" applyBorder="1" applyAlignment="1">
      <alignment vertical="center"/>
    </xf>
    <xf numFmtId="165" fontId="0" fillId="0" borderId="38" xfId="0" applyNumberFormat="1" applyBorder="1" applyAlignment="1">
      <alignment vertical="center"/>
    </xf>
    <xf numFmtId="0" fontId="0" fillId="21" borderId="36" xfId="0" applyFill="1" applyBorder="1" applyAlignment="1">
      <alignment horizontal="right" vertical="center"/>
    </xf>
    <xf numFmtId="0" fontId="0" fillId="21" borderId="1" xfId="0" applyFill="1" applyBorder="1" applyAlignment="1">
      <alignment horizontal="right" vertical="center"/>
    </xf>
    <xf numFmtId="0" fontId="0" fillId="9" borderId="1" xfId="0" applyFill="1" applyBorder="1" applyAlignment="1">
      <alignment horizontal="right" vertical="center"/>
    </xf>
    <xf numFmtId="0" fontId="0" fillId="0" borderId="38" xfId="0" applyBorder="1" applyAlignment="1">
      <alignment horizontal="right" vertical="center"/>
    </xf>
    <xf numFmtId="0" fontId="0" fillId="0" borderId="39" xfId="0" applyBorder="1" applyAlignment="1">
      <alignment vertical="center"/>
    </xf>
    <xf numFmtId="0" fontId="0" fillId="21" borderId="40" xfId="0" applyFill="1" applyBorder="1" applyAlignment="1">
      <alignment horizontal="right" vertical="center"/>
    </xf>
    <xf numFmtId="0" fontId="0" fillId="21" borderId="44" xfId="0" applyFill="1" applyBorder="1" applyAlignment="1">
      <alignment horizontal="right" vertical="center"/>
    </xf>
    <xf numFmtId="0" fontId="0" fillId="9" borderId="44" xfId="0" applyFill="1" applyBorder="1" applyAlignment="1">
      <alignment horizontal="right" vertical="center"/>
    </xf>
    <xf numFmtId="165" fontId="0" fillId="9" borderId="44" xfId="0" applyNumberFormat="1" applyFill="1" applyBorder="1" applyAlignment="1">
      <alignment vertical="center"/>
    </xf>
    <xf numFmtId="0" fontId="0" fillId="0" borderId="41" xfId="0" applyBorder="1" applyAlignment="1">
      <alignment horizontal="right" vertical="center"/>
    </xf>
    <xf numFmtId="0" fontId="0" fillId="0" borderId="0" xfId="0" applyAlignment="1">
      <alignment horizontal="left" vertical="center" wrapText="1"/>
    </xf>
    <xf numFmtId="0" fontId="24" fillId="0" borderId="50" xfId="0" applyFont="1" applyBorder="1" applyAlignment="1">
      <alignment vertical="center"/>
    </xf>
    <xf numFmtId="0" fontId="0" fillId="0" borderId="5" xfId="0" applyBorder="1" applyAlignment="1">
      <alignment vertical="center"/>
    </xf>
    <xf numFmtId="165" fontId="0" fillId="0" borderId="29" xfId="0" applyNumberFormat="1" applyFill="1" applyBorder="1" applyAlignment="1">
      <alignment vertical="center"/>
    </xf>
    <xf numFmtId="0" fontId="0" fillId="0" borderId="25" xfId="0" applyBorder="1" applyAlignment="1">
      <alignment vertical="center"/>
    </xf>
    <xf numFmtId="165" fontId="0" fillId="0" borderId="1" xfId="0" applyNumberFormat="1" applyFill="1" applyBorder="1" applyAlignment="1">
      <alignment vertical="center"/>
    </xf>
    <xf numFmtId="0" fontId="0" fillId="0" borderId="1" xfId="0" applyFill="1" applyBorder="1" applyAlignment="1">
      <alignment horizontal="right" vertical="center"/>
    </xf>
    <xf numFmtId="0" fontId="24" fillId="0" borderId="54" xfId="0" applyFont="1" applyBorder="1" applyAlignment="1">
      <alignment vertical="center"/>
    </xf>
    <xf numFmtId="0" fontId="0" fillId="19" borderId="46" xfId="0" applyFill="1" applyBorder="1" applyAlignment="1">
      <alignment horizontal="center" vertical="center"/>
    </xf>
    <xf numFmtId="0" fontId="0" fillId="19" borderId="47" xfId="0" applyFill="1" applyBorder="1" applyAlignment="1">
      <alignment horizontal="center" vertical="center"/>
    </xf>
    <xf numFmtId="0" fontId="0" fillId="19" borderId="36" xfId="0" applyFill="1" applyBorder="1" applyAlignment="1">
      <alignment horizontal="center" vertical="center"/>
    </xf>
    <xf numFmtId="0" fontId="0" fillId="19" borderId="38" xfId="0" applyFill="1" applyBorder="1" applyAlignment="1">
      <alignment horizontal="center" vertical="center"/>
    </xf>
    <xf numFmtId="0" fontId="0" fillId="19" borderId="40" xfId="0" applyFill="1" applyBorder="1" applyAlignment="1">
      <alignment horizontal="center" vertical="center"/>
    </xf>
    <xf numFmtId="0" fontId="0" fillId="19" borderId="41" xfId="0" applyFill="1" applyBorder="1" applyAlignment="1">
      <alignment horizontal="center" vertical="center"/>
    </xf>
    <xf numFmtId="0" fontId="2" fillId="0" borderId="0" xfId="5" applyFont="1" applyFill="1" applyAlignment="1">
      <alignment vertical="top"/>
    </xf>
    <xf numFmtId="0" fontId="2" fillId="22" borderId="0" xfId="5" applyFont="1" applyFill="1" applyAlignment="1">
      <alignment vertical="top"/>
    </xf>
    <xf numFmtId="0" fontId="43" fillId="0" borderId="0" xfId="0" applyFont="1" applyBorder="1" applyAlignment="1">
      <alignment vertical="center" wrapText="1"/>
    </xf>
    <xf numFmtId="0" fontId="43" fillId="0" borderId="0" xfId="0" applyFont="1" applyAlignment="1">
      <alignment horizontal="center" vertical="center"/>
    </xf>
    <xf numFmtId="0" fontId="43" fillId="0" borderId="1" xfId="0" applyFont="1" applyBorder="1" applyAlignment="1">
      <alignment horizontal="center" vertical="center"/>
    </xf>
    <xf numFmtId="43" fontId="9" fillId="2" borderId="11" xfId="1" applyNumberFormat="1" applyFont="1" applyFill="1" applyBorder="1" applyAlignment="1">
      <alignment vertical="top"/>
    </xf>
    <xf numFmtId="0" fontId="12" fillId="0" borderId="0" xfId="0" applyFont="1" applyFill="1" applyBorder="1" applyAlignment="1">
      <alignment vertical="top" wrapText="1"/>
    </xf>
    <xf numFmtId="166" fontId="12" fillId="0" borderId="0" xfId="1" applyNumberFormat="1" applyFont="1" applyFill="1" applyBorder="1" applyAlignment="1">
      <alignment vertical="top"/>
    </xf>
    <xf numFmtId="1" fontId="12" fillId="0" borderId="0" xfId="0" applyNumberFormat="1" applyFont="1" applyFill="1" applyBorder="1" applyAlignment="1">
      <alignment vertical="top"/>
    </xf>
    <xf numFmtId="0" fontId="12" fillId="0" borderId="0" xfId="0" applyFont="1" applyFill="1" applyBorder="1" applyAlignment="1">
      <alignment vertical="top"/>
    </xf>
    <xf numFmtId="0" fontId="12" fillId="0" borderId="0" xfId="0" applyFont="1" applyFill="1" applyBorder="1" applyAlignment="1">
      <alignment horizontal="center" vertical="top"/>
    </xf>
    <xf numFmtId="0" fontId="9" fillId="0" borderId="0" xfId="0" applyFont="1" applyFill="1" applyBorder="1" applyAlignment="1">
      <alignment vertical="top" wrapText="1"/>
    </xf>
    <xf numFmtId="0" fontId="8" fillId="25" borderId="7" xfId="0" applyFont="1" applyFill="1" applyBorder="1" applyAlignment="1">
      <alignment vertical="top" wrapText="1"/>
    </xf>
    <xf numFmtId="0" fontId="9" fillId="25" borderId="8" xfId="0" applyFont="1" applyFill="1" applyBorder="1" applyAlignment="1">
      <alignment vertical="top"/>
    </xf>
    <xf numFmtId="1" fontId="9" fillId="25" borderId="8" xfId="0" applyNumberFormat="1" applyFont="1" applyFill="1" applyBorder="1" applyAlignment="1">
      <alignment vertical="top"/>
    </xf>
    <xf numFmtId="38" fontId="9" fillId="25" borderId="8" xfId="0" applyNumberFormat="1" applyFont="1" applyFill="1" applyBorder="1" applyAlignment="1">
      <alignment vertical="top"/>
    </xf>
    <xf numFmtId="0" fontId="9" fillId="25" borderId="8" xfId="0" applyFont="1" applyFill="1" applyBorder="1" applyAlignment="1">
      <alignment horizontal="center" vertical="top"/>
    </xf>
    <xf numFmtId="0" fontId="9" fillId="25" borderId="8" xfId="0" applyFont="1" applyFill="1" applyBorder="1" applyAlignment="1">
      <alignment vertical="top" wrapText="1"/>
    </xf>
    <xf numFmtId="0" fontId="9" fillId="25" borderId="9" xfId="0" applyFont="1" applyFill="1" applyBorder="1" applyAlignment="1">
      <alignment vertical="top" wrapText="1"/>
    </xf>
    <xf numFmtId="0" fontId="9" fillId="9" borderId="7" xfId="0" applyFont="1" applyFill="1" applyBorder="1" applyAlignment="1">
      <alignment vertical="top" wrapText="1"/>
    </xf>
    <xf numFmtId="1" fontId="9" fillId="9" borderId="8" xfId="0" applyNumberFormat="1" applyFont="1" applyFill="1" applyBorder="1" applyAlignment="1">
      <alignment vertical="top"/>
    </xf>
    <xf numFmtId="38" fontId="9" fillId="9" borderId="8" xfId="0" applyNumberFormat="1" applyFont="1" applyFill="1" applyBorder="1" applyAlignment="1">
      <alignment vertical="top"/>
    </xf>
    <xf numFmtId="0" fontId="9" fillId="9" borderId="8" xfId="0" applyFont="1" applyFill="1" applyBorder="1" applyAlignment="1">
      <alignment horizontal="center" vertical="top"/>
    </xf>
    <xf numFmtId="0" fontId="9" fillId="9" borderId="8" xfId="0" applyFont="1" applyFill="1" applyBorder="1" applyAlignment="1">
      <alignment vertical="top" wrapText="1"/>
    </xf>
    <xf numFmtId="0" fontId="9" fillId="9" borderId="9" xfId="0" applyFont="1" applyFill="1" applyBorder="1" applyAlignment="1">
      <alignment vertical="top" wrapText="1"/>
    </xf>
    <xf numFmtId="0" fontId="9" fillId="9" borderId="11" xfId="0" quotePrefix="1" applyFont="1" applyFill="1" applyBorder="1" applyAlignment="1">
      <alignment vertical="top" wrapText="1"/>
    </xf>
    <xf numFmtId="1" fontId="9" fillId="9" borderId="0" xfId="0" applyNumberFormat="1" applyFont="1" applyFill="1" applyBorder="1" applyAlignment="1">
      <alignment vertical="top"/>
    </xf>
    <xf numFmtId="0" fontId="9" fillId="9" borderId="0" xfId="0" applyFont="1" applyFill="1" applyBorder="1" applyAlignment="1">
      <alignment horizontal="center" vertical="top"/>
    </xf>
    <xf numFmtId="0" fontId="9" fillId="9" borderId="12" xfId="0" applyFont="1" applyFill="1" applyBorder="1" applyAlignment="1">
      <alignment vertical="top" wrapText="1"/>
    </xf>
    <xf numFmtId="43" fontId="9" fillId="9" borderId="14" xfId="1" applyNumberFormat="1" applyFont="1" applyFill="1" applyBorder="1" applyAlignment="1">
      <alignment vertical="top"/>
    </xf>
    <xf numFmtId="43" fontId="9" fillId="9" borderId="15" xfId="1" applyNumberFormat="1" applyFont="1" applyFill="1" applyBorder="1" applyAlignment="1">
      <alignment vertical="top"/>
    </xf>
    <xf numFmtId="1" fontId="9" fillId="9" borderId="15" xfId="0" applyNumberFormat="1" applyFont="1" applyFill="1" applyBorder="1" applyAlignment="1">
      <alignment vertical="top"/>
    </xf>
    <xf numFmtId="0" fontId="9" fillId="9" borderId="15" xfId="0" applyFont="1" applyFill="1" applyBorder="1" applyAlignment="1">
      <alignment horizontal="center" vertical="top"/>
    </xf>
    <xf numFmtId="0" fontId="14" fillId="9" borderId="15" xfId="5" applyFont="1" applyFill="1" applyBorder="1" applyAlignment="1">
      <alignment vertical="top" wrapText="1"/>
    </xf>
    <xf numFmtId="0" fontId="9" fillId="9" borderId="16" xfId="0" applyFont="1" applyFill="1" applyBorder="1" applyAlignment="1">
      <alignment vertical="top" wrapText="1"/>
    </xf>
    <xf numFmtId="0" fontId="9" fillId="9" borderId="0" xfId="0" applyFont="1" applyFill="1" applyBorder="1" applyAlignment="1">
      <alignment vertical="top" wrapText="1"/>
    </xf>
    <xf numFmtId="172" fontId="24" fillId="15" borderId="44" xfId="0" applyNumberFormat="1" applyFont="1" applyFill="1" applyBorder="1" applyAlignment="1">
      <alignment horizontal="center" vertical="center"/>
    </xf>
    <xf numFmtId="182" fontId="0" fillId="0" borderId="0" xfId="0" applyNumberFormat="1" applyBorder="1" applyAlignment="1">
      <alignment horizontal="center" vertical="center"/>
    </xf>
    <xf numFmtId="10" fontId="0" fillId="0" borderId="0" xfId="8" applyNumberFormat="1" applyFont="1" applyBorder="1" applyAlignment="1">
      <alignment horizontal="center" vertical="center"/>
    </xf>
    <xf numFmtId="182" fontId="24" fillId="0" borderId="0" xfId="0" applyNumberFormat="1" applyFont="1" applyBorder="1" applyAlignment="1">
      <alignment horizontal="center" vertical="center"/>
    </xf>
    <xf numFmtId="0" fontId="24" fillId="0" borderId="0" xfId="0" applyFont="1" applyFill="1" applyBorder="1" applyAlignment="1">
      <alignment horizontal="center" vertical="center"/>
    </xf>
    <xf numFmtId="166" fontId="24" fillId="0" borderId="0" xfId="1" applyNumberFormat="1" applyFont="1" applyFill="1" applyBorder="1" applyAlignment="1">
      <alignment horizontal="center" vertical="center"/>
    </xf>
    <xf numFmtId="172" fontId="0" fillId="0" borderId="0" xfId="0" applyNumberFormat="1" applyFill="1" applyBorder="1" applyAlignment="1">
      <alignment horizontal="center" vertical="center"/>
    </xf>
    <xf numFmtId="0" fontId="24" fillId="0" borderId="0" xfId="0" applyFont="1" applyFill="1" applyBorder="1" applyAlignment="1">
      <alignment horizontal="left" vertical="center" wrapText="1"/>
    </xf>
    <xf numFmtId="172" fontId="24" fillId="0" borderId="0" xfId="0" applyNumberFormat="1" applyFont="1" applyFill="1" applyBorder="1" applyAlignment="1">
      <alignment horizontal="center" vertical="center"/>
    </xf>
    <xf numFmtId="0" fontId="42" fillId="0" borderId="0" xfId="111" applyFill="1" applyBorder="1" applyAlignment="1">
      <alignment vertical="center"/>
    </xf>
    <xf numFmtId="171" fontId="2" fillId="0" borderId="0" xfId="3" applyNumberFormat="1" applyBorder="1"/>
    <xf numFmtId="0" fontId="2" fillId="0" borderId="0" xfId="3" applyBorder="1"/>
    <xf numFmtId="0" fontId="9" fillId="0" borderId="0" xfId="74" applyFont="1" applyBorder="1" applyAlignment="1">
      <alignment vertical="top"/>
    </xf>
    <xf numFmtId="0" fontId="5" fillId="0" borderId="0" xfId="74" applyFont="1" applyBorder="1" applyAlignment="1">
      <alignment vertical="top"/>
    </xf>
    <xf numFmtId="165" fontId="5" fillId="0" borderId="0" xfId="74" applyNumberFormat="1" applyFont="1" applyBorder="1" applyAlignment="1">
      <alignment vertical="top"/>
    </xf>
    <xf numFmtId="0" fontId="5" fillId="0" borderId="0" xfId="74" applyFont="1" applyBorder="1" applyAlignment="1">
      <alignment horizontal="right" vertical="center"/>
    </xf>
    <xf numFmtId="176" fontId="5" fillId="0" borderId="16" xfId="74" applyNumberFormat="1" applyFont="1" applyBorder="1" applyAlignment="1">
      <alignment vertical="top"/>
    </xf>
    <xf numFmtId="0" fontId="10" fillId="0" borderId="0" xfId="0" applyFont="1"/>
    <xf numFmtId="0" fontId="14" fillId="2" borderId="12" xfId="5" applyFont="1" applyFill="1" applyBorder="1" applyAlignment="1">
      <alignment horizontal="center" vertical="top"/>
    </xf>
    <xf numFmtId="0" fontId="14" fillId="2" borderId="11" xfId="11" applyFont="1" applyFill="1" applyBorder="1" applyAlignment="1">
      <alignment vertical="top" wrapText="1"/>
    </xf>
    <xf numFmtId="0" fontId="9" fillId="2" borderId="0" xfId="11" applyFont="1" applyFill="1" applyBorder="1" applyAlignment="1">
      <alignment horizontal="left" vertical="top"/>
    </xf>
    <xf numFmtId="0" fontId="9" fillId="2" borderId="0" xfId="11" applyFont="1" applyFill="1" applyBorder="1" applyAlignment="1">
      <alignment vertical="top" wrapText="1"/>
    </xf>
    <xf numFmtId="0" fontId="12" fillId="2" borderId="0" xfId="11" applyFont="1" applyFill="1" applyBorder="1" applyAlignment="1">
      <alignment vertical="top"/>
    </xf>
    <xf numFmtId="0" fontId="12" fillId="2" borderId="0" xfId="11" applyFont="1" applyFill="1" applyBorder="1" applyAlignment="1">
      <alignment horizontal="left" vertical="top"/>
    </xf>
    <xf numFmtId="0" fontId="12" fillId="2" borderId="12" xfId="11" applyFont="1" applyFill="1" applyBorder="1" applyAlignment="1">
      <alignment vertical="top" wrapText="1"/>
    </xf>
    <xf numFmtId="0" fontId="12" fillId="2" borderId="0" xfId="11" applyFont="1" applyFill="1" applyBorder="1" applyAlignment="1">
      <alignment vertical="top" wrapText="1"/>
    </xf>
    <xf numFmtId="43" fontId="14" fillId="2" borderId="0" xfId="11" applyNumberFormat="1" applyFont="1" applyFill="1" applyBorder="1" applyAlignment="1">
      <alignment vertical="top"/>
    </xf>
    <xf numFmtId="0" fontId="24" fillId="0" borderId="1" xfId="0" applyFont="1" applyFill="1" applyBorder="1" applyAlignment="1">
      <alignment horizontal="center" vertical="center"/>
    </xf>
    <xf numFmtId="0" fontId="0" fillId="0" borderId="1" xfId="0" applyBorder="1" applyAlignment="1">
      <alignment horizontal="center" vertical="center" wrapText="1"/>
    </xf>
    <xf numFmtId="0" fontId="24" fillId="0" borderId="1" xfId="0" applyFont="1" applyBorder="1" applyAlignment="1">
      <alignment horizontal="center" vertical="center"/>
    </xf>
    <xf numFmtId="0" fontId="24" fillId="0" borderId="29" xfId="0" applyFont="1" applyBorder="1" applyAlignment="1">
      <alignment horizontal="center" vertical="center"/>
    </xf>
    <xf numFmtId="0" fontId="43" fillId="0" borderId="0" xfId="0" applyFont="1" applyFill="1" applyBorder="1" applyAlignment="1">
      <alignment vertical="center" wrapText="1"/>
    </xf>
    <xf numFmtId="0" fontId="0" fillId="0" borderId="1" xfId="0" applyFont="1" applyBorder="1" applyAlignment="1">
      <alignment horizontal="center" vertical="center"/>
    </xf>
    <xf numFmtId="180" fontId="0" fillId="0" borderId="0" xfId="0" applyNumberFormat="1" applyFont="1" applyFill="1" applyAlignment="1">
      <alignment vertical="center"/>
    </xf>
    <xf numFmtId="0" fontId="0" fillId="0" borderId="0" xfId="0" applyFont="1" applyAlignment="1">
      <alignment horizontal="center" vertical="center"/>
    </xf>
    <xf numFmtId="169" fontId="0" fillId="0" borderId="0" xfId="0" applyNumberFormat="1" applyFont="1" applyFill="1" applyAlignment="1">
      <alignment vertical="center"/>
    </xf>
    <xf numFmtId="0" fontId="0" fillId="0" borderId="0" xfId="0" applyFont="1" applyFill="1" applyAlignment="1">
      <alignment vertical="center"/>
    </xf>
    <xf numFmtId="181" fontId="0" fillId="0" borderId="0" xfId="2" applyNumberFormat="1" applyFont="1" applyFill="1" applyAlignment="1">
      <alignment vertical="center"/>
    </xf>
    <xf numFmtId="0" fontId="0" fillId="0" borderId="29" xfId="0" applyFont="1" applyBorder="1" applyAlignment="1">
      <alignment vertical="center"/>
    </xf>
    <xf numFmtId="0" fontId="0" fillId="0" borderId="29" xfId="0" applyFont="1" applyBorder="1" applyAlignment="1">
      <alignment horizontal="center" vertical="center"/>
    </xf>
    <xf numFmtId="0" fontId="24" fillId="0" borderId="1" xfId="0" applyFont="1" applyBorder="1" applyAlignment="1">
      <alignment vertical="center"/>
    </xf>
    <xf numFmtId="0" fontId="0" fillId="22" borderId="1" xfId="0" applyFont="1" applyFill="1" applyBorder="1" applyAlignment="1">
      <alignment horizontal="center" vertical="center"/>
    </xf>
    <xf numFmtId="173" fontId="0" fillId="0" borderId="23" xfId="0" applyNumberFormat="1" applyFont="1" applyBorder="1" applyAlignment="1">
      <alignment horizontal="center" vertical="center"/>
    </xf>
    <xf numFmtId="173" fontId="0" fillId="0" borderId="1" xfId="0" applyNumberFormat="1" applyFont="1" applyBorder="1" applyAlignment="1">
      <alignment horizontal="center" vertical="center"/>
    </xf>
    <xf numFmtId="6" fontId="0" fillId="0" borderId="1" xfId="0" applyNumberFormat="1" applyFont="1" applyBorder="1" applyAlignment="1">
      <alignment vertical="center"/>
    </xf>
    <xf numFmtId="8" fontId="0" fillId="0" borderId="1" xfId="0" applyNumberFormat="1" applyFont="1" applyBorder="1" applyAlignment="1">
      <alignment vertical="center"/>
    </xf>
    <xf numFmtId="0" fontId="24" fillId="24" borderId="1" xfId="0" applyFont="1" applyFill="1" applyBorder="1" applyAlignment="1">
      <alignment vertical="center"/>
    </xf>
    <xf numFmtId="0" fontId="0" fillId="18" borderId="0" xfId="0" applyFont="1" applyFill="1" applyAlignment="1">
      <alignment vertical="center"/>
    </xf>
    <xf numFmtId="0" fontId="43" fillId="0" borderId="11" xfId="0" applyFont="1" applyBorder="1" applyAlignment="1">
      <alignment vertical="center"/>
    </xf>
    <xf numFmtId="0" fontId="0" fillId="0" borderId="0" xfId="0"/>
    <xf numFmtId="0" fontId="51" fillId="0" borderId="1" xfId="0" applyFont="1" applyBorder="1" applyAlignment="1">
      <alignment horizontal="center" vertical="center" wrapText="1"/>
    </xf>
    <xf numFmtId="0" fontId="51" fillId="28" borderId="1" xfId="0" applyFont="1" applyFill="1" applyBorder="1" applyAlignment="1">
      <alignment horizontal="center" vertical="center" wrapText="1"/>
    </xf>
    <xf numFmtId="0" fontId="52" fillId="0" borderId="1" xfId="0" applyFont="1" applyBorder="1" applyAlignment="1">
      <alignment vertical="center" wrapText="1"/>
    </xf>
    <xf numFmtId="0" fontId="13" fillId="0" borderId="0" xfId="0" applyFont="1" applyAlignment="1">
      <alignment vertical="center"/>
    </xf>
    <xf numFmtId="0" fontId="50" fillId="0" borderId="0" xfId="0" applyFont="1" applyAlignment="1">
      <alignment vertical="center"/>
    </xf>
    <xf numFmtId="0" fontId="49" fillId="0" borderId="0" xfId="0" applyFont="1" applyBorder="1" applyAlignment="1">
      <alignment vertical="center"/>
    </xf>
    <xf numFmtId="0" fontId="51" fillId="28" borderId="1" xfId="0" applyFont="1" applyFill="1" applyBorder="1" applyAlignment="1">
      <alignment horizontal="center" vertical="center" wrapText="1"/>
    </xf>
    <xf numFmtId="0" fontId="24" fillId="0" borderId="1" xfId="0" applyFont="1" applyBorder="1" applyAlignment="1">
      <alignment horizontal="center" vertical="center"/>
    </xf>
    <xf numFmtId="164" fontId="52" fillId="0" borderId="1" xfId="0" applyNumberFormat="1" applyFont="1" applyBorder="1" applyAlignment="1">
      <alignment horizontal="center" vertical="center"/>
    </xf>
    <xf numFmtId="7" fontId="43" fillId="0" borderId="1" xfId="0" applyNumberFormat="1" applyFont="1" applyBorder="1" applyAlignment="1">
      <alignment horizontal="center" vertical="center"/>
    </xf>
    <xf numFmtId="0" fontId="7" fillId="0" borderId="0" xfId="0" applyFont="1" applyAlignment="1">
      <alignment vertical="center"/>
    </xf>
    <xf numFmtId="0" fontId="5" fillId="0" borderId="0" xfId="0" applyFont="1" applyAlignment="1">
      <alignment vertical="center"/>
    </xf>
    <xf numFmtId="0" fontId="47" fillId="0" borderId="0" xfId="0" applyFont="1" applyAlignment="1">
      <alignment vertical="center"/>
    </xf>
    <xf numFmtId="0" fontId="43" fillId="0" borderId="7" xfId="0" applyFont="1" applyBorder="1" applyAlignment="1">
      <alignment vertical="center"/>
    </xf>
    <xf numFmtId="0" fontId="43" fillId="0" borderId="8" xfId="0" applyFont="1" applyBorder="1" applyAlignment="1">
      <alignment vertical="center"/>
    </xf>
    <xf numFmtId="0" fontId="43" fillId="0" borderId="9" xfId="0" applyFont="1" applyBorder="1" applyAlignment="1">
      <alignment vertical="center"/>
    </xf>
    <xf numFmtId="0" fontId="40" fillId="0" borderId="11" xfId="0" applyFont="1" applyBorder="1" applyAlignment="1">
      <alignment horizontal="right" vertical="center"/>
    </xf>
    <xf numFmtId="0" fontId="43" fillId="0" borderId="12" xfId="0" applyFont="1" applyBorder="1" applyAlignment="1">
      <alignment vertical="center"/>
    </xf>
    <xf numFmtId="0" fontId="40" fillId="25" borderId="11" xfId="0" applyFont="1" applyFill="1" applyBorder="1" applyAlignment="1">
      <alignment horizontal="center" vertical="center"/>
    </xf>
    <xf numFmtId="0" fontId="43" fillId="0" borderId="0" xfId="0" applyFont="1" applyFill="1" applyBorder="1" applyAlignment="1">
      <alignment vertical="center"/>
    </xf>
    <xf numFmtId="0" fontId="43" fillId="0" borderId="12" xfId="0" applyFont="1" applyFill="1" applyBorder="1" applyAlignment="1">
      <alignment vertical="center"/>
    </xf>
    <xf numFmtId="0" fontId="40" fillId="0" borderId="11"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12" xfId="0" applyFont="1" applyFill="1" applyBorder="1" applyAlignment="1">
      <alignment horizontal="center" vertical="center"/>
    </xf>
    <xf numFmtId="3" fontId="43" fillId="0" borderId="11" xfId="0" applyNumberFormat="1" applyFont="1" applyBorder="1" applyAlignment="1">
      <alignment vertical="center"/>
    </xf>
    <xf numFmtId="3" fontId="43" fillId="0" borderId="0" xfId="0" applyNumberFormat="1" applyFont="1" applyBorder="1" applyAlignment="1">
      <alignment vertical="center"/>
    </xf>
    <xf numFmtId="3" fontId="43" fillId="0" borderId="12" xfId="0" applyNumberFormat="1" applyFont="1" applyBorder="1" applyAlignment="1">
      <alignment vertical="center"/>
    </xf>
    <xf numFmtId="3" fontId="43" fillId="0" borderId="0" xfId="0" applyNumberFormat="1" applyFont="1" applyFill="1" applyBorder="1" applyAlignment="1">
      <alignment vertical="center"/>
    </xf>
    <xf numFmtId="0" fontId="43" fillId="0" borderId="15" xfId="0" applyFont="1" applyBorder="1" applyAlignment="1">
      <alignment horizontal="center" vertical="center"/>
    </xf>
    <xf numFmtId="0" fontId="43" fillId="0" borderId="16" xfId="0" applyFont="1" applyBorder="1" applyAlignment="1">
      <alignment vertical="center"/>
    </xf>
    <xf numFmtId="3" fontId="40" fillId="0" borderId="14" xfId="0" applyNumberFormat="1" applyFont="1" applyBorder="1" applyAlignment="1">
      <alignment vertical="center"/>
    </xf>
    <xf numFmtId="3" fontId="40" fillId="0" borderId="15" xfId="0" applyNumberFormat="1" applyFont="1" applyBorder="1" applyAlignment="1">
      <alignment vertical="center"/>
    </xf>
    <xf numFmtId="3" fontId="40" fillId="0" borderId="16" xfId="0" applyNumberFormat="1" applyFont="1" applyBorder="1" applyAlignment="1">
      <alignment vertical="center"/>
    </xf>
    <xf numFmtId="3" fontId="40" fillId="0" borderId="0" xfId="0" applyNumberFormat="1" applyFont="1" applyFill="1" applyBorder="1" applyAlignment="1">
      <alignment vertical="center"/>
    </xf>
    <xf numFmtId="3" fontId="40" fillId="0" borderId="0" xfId="0" applyNumberFormat="1" applyFont="1" applyBorder="1" applyAlignment="1">
      <alignment vertical="center"/>
    </xf>
    <xf numFmtId="0" fontId="38" fillId="0" borderId="14" xfId="0" applyFont="1" applyBorder="1" applyAlignment="1">
      <alignment vertical="center"/>
    </xf>
    <xf numFmtId="0" fontId="49" fillId="0" borderId="15" xfId="0" applyFont="1" applyBorder="1" applyAlignment="1">
      <alignment vertical="center"/>
    </xf>
    <xf numFmtId="0" fontId="43" fillId="0" borderId="15" xfId="0" applyFont="1" applyBorder="1" applyAlignment="1">
      <alignment vertical="center"/>
    </xf>
    <xf numFmtId="0" fontId="53" fillId="0" borderId="0" xfId="0" applyFont="1" applyBorder="1" applyAlignment="1">
      <alignment vertical="center"/>
    </xf>
    <xf numFmtId="0" fontId="49" fillId="0" borderId="0" xfId="0" applyFont="1" applyBorder="1" applyAlignment="1">
      <alignment vertical="center" wrapText="1"/>
    </xf>
    <xf numFmtId="0" fontId="48" fillId="30" borderId="11" xfId="0" applyFont="1" applyFill="1" applyBorder="1" applyAlignment="1">
      <alignment horizontal="right" vertical="center" wrapText="1"/>
    </xf>
    <xf numFmtId="184" fontId="9" fillId="9" borderId="0" xfId="0" applyNumberFormat="1" applyFont="1" applyFill="1" applyBorder="1" applyAlignment="1">
      <alignment vertical="top"/>
    </xf>
    <xf numFmtId="184" fontId="9" fillId="9" borderId="0" xfId="1" applyNumberFormat="1" applyFont="1" applyFill="1" applyBorder="1" applyAlignment="1">
      <alignment vertical="top"/>
    </xf>
    <xf numFmtId="0" fontId="0" fillId="0" borderId="1" xfId="0" applyBorder="1"/>
    <xf numFmtId="43" fontId="0" fillId="0" borderId="1" xfId="0" applyNumberFormat="1" applyBorder="1"/>
    <xf numFmtId="185" fontId="0" fillId="0" borderId="1" xfId="0" applyNumberFormat="1" applyBorder="1"/>
    <xf numFmtId="0" fontId="0" fillId="15" borderId="0" xfId="0" applyFill="1"/>
    <xf numFmtId="0" fontId="24" fillId="19" borderId="0" xfId="0" applyFont="1" applyFill="1" applyBorder="1" applyAlignment="1">
      <alignment horizontal="center" vertical="center"/>
    </xf>
    <xf numFmtId="0" fontId="0" fillId="19" borderId="0" xfId="0" applyFill="1" applyBorder="1"/>
    <xf numFmtId="0" fontId="0" fillId="0" borderId="44" xfId="0" applyBorder="1"/>
    <xf numFmtId="0" fontId="24" fillId="24" borderId="50" xfId="0" applyFont="1" applyFill="1" applyBorder="1" applyAlignment="1">
      <alignment horizontal="center" vertical="center" wrapText="1"/>
    </xf>
    <xf numFmtId="0" fontId="0" fillId="0" borderId="65" xfId="0" applyBorder="1"/>
    <xf numFmtId="43" fontId="0" fillId="0" borderId="65" xfId="0" applyNumberFormat="1" applyBorder="1"/>
    <xf numFmtId="43" fontId="0" fillId="0" borderId="44" xfId="0" applyNumberFormat="1" applyBorder="1"/>
    <xf numFmtId="0" fontId="0" fillId="0" borderId="64" xfId="0" applyFill="1" applyBorder="1"/>
    <xf numFmtId="0" fontId="0" fillId="0" borderId="36" xfId="0" applyFill="1" applyBorder="1"/>
    <xf numFmtId="0" fontId="0" fillId="0" borderId="40" xfId="0" applyFill="1" applyBorder="1"/>
    <xf numFmtId="185" fontId="0" fillId="0" borderId="65" xfId="0" applyNumberFormat="1" applyBorder="1"/>
    <xf numFmtId="185" fontId="0" fillId="0" borderId="66" xfId="0" applyNumberFormat="1" applyBorder="1"/>
    <xf numFmtId="185" fontId="0" fillId="0" borderId="38" xfId="0" applyNumberFormat="1" applyBorder="1"/>
    <xf numFmtId="185" fontId="0" fillId="0" borderId="44" xfId="0" applyNumberFormat="1" applyBorder="1"/>
    <xf numFmtId="185" fontId="0" fillId="0" borderId="41" xfId="0" applyNumberFormat="1" applyBorder="1"/>
    <xf numFmtId="185" fontId="0" fillId="5" borderId="1" xfId="0" applyNumberFormat="1" applyFill="1" applyBorder="1"/>
    <xf numFmtId="185" fontId="0" fillId="5" borderId="44" xfId="0" applyNumberFormat="1" applyFill="1" applyBorder="1"/>
    <xf numFmtId="0" fontId="0" fillId="9" borderId="36" xfId="0" applyFill="1" applyBorder="1"/>
    <xf numFmtId="0" fontId="0" fillId="9" borderId="1" xfId="0" applyFill="1" applyBorder="1"/>
    <xf numFmtId="185" fontId="0" fillId="9" borderId="1" xfId="0" applyNumberFormat="1" applyFill="1" applyBorder="1"/>
    <xf numFmtId="185" fontId="0" fillId="9" borderId="38" xfId="0" applyNumberFormat="1" applyFill="1" applyBorder="1"/>
    <xf numFmtId="0" fontId="0" fillId="9" borderId="40" xfId="0" applyFill="1" applyBorder="1"/>
    <xf numFmtId="0" fontId="0" fillId="9" borderId="44" xfId="0" applyFill="1" applyBorder="1"/>
    <xf numFmtId="185" fontId="0" fillId="9" borderId="44" xfId="0" applyNumberFormat="1" applyFill="1" applyBorder="1"/>
    <xf numFmtId="185" fontId="0" fillId="9" borderId="41" xfId="0" applyNumberFormat="1" applyFill="1" applyBorder="1"/>
    <xf numFmtId="0" fontId="0" fillId="9" borderId="64" xfId="0" applyFill="1" applyBorder="1"/>
    <xf numFmtId="0" fontId="0" fillId="9" borderId="65" xfId="0" applyFill="1" applyBorder="1"/>
    <xf numFmtId="43" fontId="0" fillId="9" borderId="1" xfId="0" applyNumberFormat="1" applyFill="1" applyBorder="1"/>
    <xf numFmtId="43" fontId="0" fillId="9" borderId="38" xfId="0" applyNumberFormat="1" applyFill="1" applyBorder="1"/>
    <xf numFmtId="43" fontId="0" fillId="9" borderId="44" xfId="0" applyNumberFormat="1" applyFill="1" applyBorder="1"/>
    <xf numFmtId="43" fontId="0" fillId="9" borderId="41" xfId="0" applyNumberFormat="1" applyFill="1" applyBorder="1"/>
    <xf numFmtId="185" fontId="0" fillId="9" borderId="65" xfId="0" applyNumberFormat="1" applyFill="1" applyBorder="1"/>
    <xf numFmtId="185" fontId="0" fillId="9" borderId="66" xfId="0" applyNumberFormat="1" applyFill="1" applyBorder="1"/>
    <xf numFmtId="0" fontId="0" fillId="19" borderId="0" xfId="0" applyFill="1"/>
    <xf numFmtId="0" fontId="39" fillId="19" borderId="0" xfId="0" applyNumberFormat="1" applyFont="1" applyFill="1" applyBorder="1"/>
    <xf numFmtId="186" fontId="0" fillId="19" borderId="0" xfId="0" applyNumberFormat="1" applyFill="1"/>
    <xf numFmtId="43" fontId="0" fillId="9" borderId="25" xfId="0" applyNumberFormat="1" applyFill="1" applyBorder="1"/>
    <xf numFmtId="43" fontId="0" fillId="9" borderId="42" xfId="0" applyNumberFormat="1" applyFill="1" applyBorder="1"/>
    <xf numFmtId="43" fontId="0" fillId="0" borderId="70" xfId="0" applyNumberFormat="1" applyBorder="1"/>
    <xf numFmtId="43" fontId="0" fillId="0" borderId="25" xfId="0" applyNumberFormat="1" applyBorder="1"/>
    <xf numFmtId="43" fontId="0" fillId="0" borderId="42" xfId="0" applyNumberFormat="1" applyBorder="1"/>
    <xf numFmtId="185" fontId="0" fillId="9" borderId="70" xfId="0" applyNumberFormat="1" applyFill="1" applyBorder="1"/>
    <xf numFmtId="185" fontId="0" fillId="9" borderId="25" xfId="0" applyNumberFormat="1" applyFill="1" applyBorder="1"/>
    <xf numFmtId="185" fontId="0" fillId="9" borderId="42" xfId="0" applyNumberFormat="1" applyFill="1" applyBorder="1"/>
    <xf numFmtId="185" fontId="0" fillId="0" borderId="70" xfId="0" applyNumberFormat="1" applyBorder="1"/>
    <xf numFmtId="185" fontId="0" fillId="0" borderId="25" xfId="0" applyNumberFormat="1" applyBorder="1"/>
    <xf numFmtId="185" fontId="0" fillId="0" borderId="42" xfId="0" applyNumberFormat="1" applyBorder="1"/>
    <xf numFmtId="43" fontId="0" fillId="9" borderId="23" xfId="0" applyNumberFormat="1" applyFill="1" applyBorder="1"/>
    <xf numFmtId="43" fontId="0" fillId="9" borderId="72" xfId="0" applyNumberFormat="1" applyFill="1" applyBorder="1"/>
    <xf numFmtId="43" fontId="0" fillId="0" borderId="71" xfId="0" applyNumberFormat="1" applyBorder="1"/>
    <xf numFmtId="43" fontId="0" fillId="0" borderId="23" xfId="0" applyNumberFormat="1" applyBorder="1"/>
    <xf numFmtId="43" fontId="0" fillId="0" borderId="72" xfId="0" applyNumberFormat="1" applyBorder="1"/>
    <xf numFmtId="185" fontId="0" fillId="9" borderId="71" xfId="0" applyNumberFormat="1" applyFill="1" applyBorder="1"/>
    <xf numFmtId="185" fontId="0" fillId="9" borderId="23" xfId="0" applyNumberFormat="1" applyFill="1" applyBorder="1"/>
    <xf numFmtId="185" fontId="0" fillId="9" borderId="72" xfId="0" applyNumberFormat="1" applyFill="1" applyBorder="1"/>
    <xf numFmtId="185" fontId="0" fillId="0" borderId="71" xfId="0" applyNumberFormat="1" applyBorder="1"/>
    <xf numFmtId="185" fontId="0" fillId="0" borderId="23" xfId="0" applyNumberFormat="1" applyBorder="1"/>
    <xf numFmtId="185" fontId="0" fillId="0" borderId="72" xfId="0" applyNumberFormat="1" applyBorder="1"/>
    <xf numFmtId="43" fontId="0" fillId="9" borderId="67" xfId="0" applyNumberFormat="1" applyFill="1" applyBorder="1"/>
    <xf numFmtId="43" fontId="0" fillId="9" borderId="68" xfId="0" applyNumberFormat="1" applyFill="1" applyBorder="1"/>
    <xf numFmtId="43" fontId="0" fillId="0" borderId="59" xfId="0" applyNumberFormat="1" applyBorder="1"/>
    <xf numFmtId="43" fontId="0" fillId="0" borderId="67" xfId="0" applyNumberFormat="1" applyBorder="1"/>
    <xf numFmtId="43" fontId="0" fillId="0" borderId="68" xfId="0" applyNumberFormat="1" applyBorder="1"/>
    <xf numFmtId="185" fontId="0" fillId="9" borderId="59" xfId="0" applyNumberFormat="1" applyFill="1" applyBorder="1"/>
    <xf numFmtId="185" fontId="0" fillId="9" borderId="67" xfId="0" applyNumberFormat="1" applyFill="1" applyBorder="1"/>
    <xf numFmtId="185" fontId="0" fillId="9" borderId="68" xfId="0" applyNumberFormat="1" applyFill="1" applyBorder="1"/>
    <xf numFmtId="43" fontId="0" fillId="20" borderId="69" xfId="0" applyNumberFormat="1" applyFill="1" applyBorder="1"/>
    <xf numFmtId="43" fontId="0" fillId="20" borderId="37" xfId="0" applyNumberFormat="1" applyFill="1" applyBorder="1"/>
    <xf numFmtId="43" fontId="0" fillId="20" borderId="43" xfId="0" applyNumberFormat="1" applyFill="1" applyBorder="1"/>
    <xf numFmtId="185" fontId="0" fillId="20" borderId="69" xfId="0" applyNumberFormat="1" applyFill="1" applyBorder="1"/>
    <xf numFmtId="185" fontId="0" fillId="20" borderId="37" xfId="0" applyNumberFormat="1" applyFill="1" applyBorder="1"/>
    <xf numFmtId="185" fontId="0" fillId="20" borderId="43" xfId="0" applyNumberFormat="1" applyFill="1" applyBorder="1"/>
    <xf numFmtId="43" fontId="0" fillId="5" borderId="69" xfId="0" applyNumberFormat="1" applyFill="1" applyBorder="1"/>
    <xf numFmtId="43" fontId="0" fillId="5" borderId="37" xfId="0" applyNumberFormat="1" applyFill="1" applyBorder="1"/>
    <xf numFmtId="43" fontId="0" fillId="5" borderId="43" xfId="0" applyNumberFormat="1" applyFill="1" applyBorder="1"/>
    <xf numFmtId="185" fontId="0" fillId="5" borderId="69" xfId="0" applyNumberFormat="1" applyFill="1" applyBorder="1"/>
    <xf numFmtId="185" fontId="0" fillId="5" borderId="37" xfId="0" applyNumberFormat="1" applyFill="1" applyBorder="1"/>
    <xf numFmtId="185" fontId="0" fillId="5" borderId="43" xfId="0" applyNumberFormat="1" applyFill="1" applyBorder="1"/>
    <xf numFmtId="0" fontId="48" fillId="27" borderId="11" xfId="0" applyFont="1" applyFill="1" applyBorder="1" applyAlignment="1">
      <alignment horizontal="left" vertical="center" wrapText="1"/>
    </xf>
    <xf numFmtId="0" fontId="49" fillId="0" borderId="14" xfId="0" applyFont="1" applyBorder="1" applyAlignment="1">
      <alignment vertical="center"/>
    </xf>
    <xf numFmtId="0" fontId="48" fillId="30" borderId="11" xfId="0" applyFont="1" applyFill="1" applyBorder="1" applyAlignment="1">
      <alignment horizontal="right" vertical="center" wrapText="1"/>
    </xf>
    <xf numFmtId="0" fontId="48" fillId="29" borderId="14" xfId="0" applyFont="1" applyFill="1" applyBorder="1" applyAlignment="1">
      <alignment horizontal="right" vertical="center" wrapText="1"/>
    </xf>
    <xf numFmtId="43" fontId="0" fillId="5" borderId="65" xfId="0" applyNumberFormat="1" applyFill="1" applyBorder="1"/>
    <xf numFmtId="43" fontId="0" fillId="5" borderId="1" xfId="0" applyNumberFormat="1" applyFill="1" applyBorder="1"/>
    <xf numFmtId="43" fontId="0" fillId="5" borderId="44" xfId="0" applyNumberFormat="1" applyFill="1" applyBorder="1"/>
    <xf numFmtId="185" fontId="0" fillId="5" borderId="65" xfId="0" applyNumberFormat="1" applyFill="1" applyBorder="1"/>
    <xf numFmtId="43" fontId="0" fillId="9" borderId="29" xfId="0" applyNumberFormat="1" applyFill="1" applyBorder="1"/>
    <xf numFmtId="43" fontId="0" fillId="5" borderId="29" xfId="0" applyNumberFormat="1" applyFill="1" applyBorder="1"/>
    <xf numFmtId="43" fontId="0" fillId="9" borderId="47" xfId="0" applyNumberFormat="1" applyFill="1" applyBorder="1"/>
    <xf numFmtId="0" fontId="0" fillId="9" borderId="46" xfId="0" applyFill="1" applyBorder="1"/>
    <xf numFmtId="0" fontId="0" fillId="9" borderId="29" xfId="0" applyFill="1" applyBorder="1"/>
    <xf numFmtId="43" fontId="0" fillId="9" borderId="5" xfId="0" applyNumberFormat="1" applyFill="1" applyBorder="1"/>
    <xf numFmtId="43" fontId="0" fillId="20" borderId="53" xfId="0" applyNumberFormat="1" applyFill="1" applyBorder="1"/>
    <xf numFmtId="43" fontId="0" fillId="9" borderId="6" xfId="0" applyNumberFormat="1" applyFill="1" applyBorder="1"/>
    <xf numFmtId="185" fontId="0" fillId="19" borderId="65" xfId="0" applyNumberFormat="1" applyFill="1" applyBorder="1"/>
    <xf numFmtId="185" fontId="0" fillId="19" borderId="1" xfId="0" applyNumberFormat="1" applyFill="1" applyBorder="1"/>
    <xf numFmtId="185" fontId="0" fillId="19" borderId="44" xfId="0" applyNumberFormat="1" applyFill="1" applyBorder="1"/>
    <xf numFmtId="43" fontId="0" fillId="19" borderId="23" xfId="0" applyNumberFormat="1" applyFill="1" applyBorder="1"/>
    <xf numFmtId="43" fontId="0" fillId="5" borderId="53" xfId="0" applyNumberFormat="1" applyFill="1" applyBorder="1"/>
    <xf numFmtId="43" fontId="0" fillId="9" borderId="73" xfId="0" applyNumberFormat="1" applyFill="1" applyBorder="1"/>
    <xf numFmtId="0" fontId="24" fillId="24" borderId="50" xfId="0" applyFont="1" applyFill="1" applyBorder="1" applyAlignment="1">
      <alignment horizontal="center" vertical="center" wrapText="1"/>
    </xf>
    <xf numFmtId="0" fontId="24" fillId="20" borderId="50" xfId="0" applyFont="1" applyFill="1" applyBorder="1" applyAlignment="1">
      <alignment horizontal="center" vertical="center" wrapText="1"/>
    </xf>
    <xf numFmtId="0" fontId="24" fillId="5" borderId="50" xfId="0" applyFont="1" applyFill="1" applyBorder="1" applyAlignment="1">
      <alignment horizontal="center" vertical="center" wrapText="1"/>
    </xf>
    <xf numFmtId="3" fontId="40" fillId="0" borderId="11" xfId="0" applyNumberFormat="1" applyFont="1" applyBorder="1" applyAlignment="1">
      <alignment vertical="center"/>
    </xf>
    <xf numFmtId="3" fontId="40" fillId="0" borderId="12" xfId="0" applyNumberFormat="1" applyFont="1" applyBorder="1" applyAlignment="1">
      <alignment vertical="center"/>
    </xf>
    <xf numFmtId="0" fontId="51" fillId="28" borderId="1" xfId="0" applyFont="1" applyFill="1" applyBorder="1" applyAlignment="1">
      <alignment horizontal="center" vertical="center" wrapText="1"/>
    </xf>
    <xf numFmtId="3" fontId="43" fillId="0" borderId="0" xfId="0" applyNumberFormat="1" applyFont="1" applyAlignment="1">
      <alignment vertical="center"/>
    </xf>
    <xf numFmtId="0" fontId="1" fillId="0" borderId="0" xfId="0" applyFont="1" applyBorder="1" applyAlignment="1">
      <alignment vertical="center"/>
    </xf>
    <xf numFmtId="0" fontId="54" fillId="0" borderId="0" xfId="0" applyFont="1" applyBorder="1" applyAlignment="1">
      <alignment vertical="center"/>
    </xf>
    <xf numFmtId="170" fontId="1" fillId="0" borderId="1" xfId="1" applyNumberFormat="1" applyFont="1" applyBorder="1" applyAlignment="1">
      <alignment horizontal="right" vertical="center" wrapText="1"/>
    </xf>
    <xf numFmtId="170" fontId="1" fillId="0" borderId="1" xfId="0" applyNumberFormat="1" applyFont="1" applyBorder="1" applyAlignment="1">
      <alignment horizontal="right" vertical="center"/>
    </xf>
    <xf numFmtId="0" fontId="9" fillId="0" borderId="1" xfId="0" applyFont="1" applyBorder="1" applyAlignment="1">
      <alignment vertical="center"/>
    </xf>
    <xf numFmtId="0" fontId="9" fillId="0" borderId="1" xfId="0" applyFont="1" applyBorder="1" applyAlignment="1">
      <alignment horizontal="center" vertical="center"/>
    </xf>
    <xf numFmtId="170" fontId="24" fillId="0" borderId="1" xfId="1" applyNumberFormat="1" applyFont="1" applyBorder="1" applyAlignment="1">
      <alignment horizontal="right" vertical="center" wrapText="1"/>
    </xf>
    <xf numFmtId="3" fontId="1" fillId="0" borderId="1" xfId="1" applyNumberFormat="1" applyFont="1" applyBorder="1" applyAlignment="1">
      <alignment horizontal="right" vertical="center" wrapText="1"/>
    </xf>
    <xf numFmtId="3" fontId="1" fillId="0" borderId="1" xfId="0" applyNumberFormat="1" applyFont="1" applyBorder="1" applyAlignment="1">
      <alignment horizontal="right" vertical="center"/>
    </xf>
    <xf numFmtId="3" fontId="24" fillId="0" borderId="1" xfId="1" applyNumberFormat="1" applyFont="1" applyBorder="1" applyAlignment="1">
      <alignment horizontal="right" vertical="center" wrapText="1"/>
    </xf>
    <xf numFmtId="0" fontId="48" fillId="29" borderId="11" xfId="0" applyFont="1" applyFill="1" applyBorder="1" applyAlignment="1">
      <alignment horizontal="left" vertical="center" wrapText="1"/>
    </xf>
    <xf numFmtId="168" fontId="43" fillId="0" borderId="0" xfId="8" applyNumberFormat="1" applyFont="1" applyAlignment="1">
      <alignment vertical="center"/>
    </xf>
    <xf numFmtId="0" fontId="0" fillId="0" borderId="65" xfId="0" applyFill="1" applyBorder="1"/>
    <xf numFmtId="43" fontId="0" fillId="0" borderId="65" xfId="0" applyNumberFormat="1" applyFill="1" applyBorder="1"/>
    <xf numFmtId="43" fontId="0" fillId="0" borderId="71" xfId="0" applyNumberFormat="1" applyFill="1" applyBorder="1"/>
    <xf numFmtId="43" fontId="0" fillId="0" borderId="70" xfId="0" applyNumberFormat="1" applyFill="1" applyBorder="1"/>
    <xf numFmtId="43" fontId="0" fillId="0" borderId="23" xfId="0" applyNumberFormat="1" applyFill="1" applyBorder="1"/>
    <xf numFmtId="43" fontId="0" fillId="0" borderId="59" xfId="0" applyNumberFormat="1" applyFill="1" applyBorder="1"/>
    <xf numFmtId="0" fontId="0" fillId="0" borderId="0" xfId="0" applyFill="1"/>
    <xf numFmtId="43" fontId="0" fillId="0" borderId="66" xfId="0" applyNumberFormat="1" applyFill="1" applyBorder="1"/>
    <xf numFmtId="0" fontId="0" fillId="0" borderId="1" xfId="0" applyFill="1" applyBorder="1"/>
    <xf numFmtId="43" fontId="0" fillId="0" borderId="1" xfId="0" applyNumberFormat="1" applyFill="1" applyBorder="1"/>
    <xf numFmtId="43" fontId="0" fillId="0" borderId="25" xfId="0" applyNumberFormat="1" applyFill="1" applyBorder="1"/>
    <xf numFmtId="43" fontId="0" fillId="0" borderId="67" xfId="0" applyNumberFormat="1" applyFill="1" applyBorder="1"/>
    <xf numFmtId="43" fontId="0" fillId="0" borderId="38" xfId="0" applyNumberFormat="1" applyFill="1" applyBorder="1"/>
    <xf numFmtId="0" fontId="0" fillId="0" borderId="44" xfId="0" applyFill="1" applyBorder="1"/>
    <xf numFmtId="43" fontId="0" fillId="0" borderId="44" xfId="0" applyNumberFormat="1" applyFill="1" applyBorder="1"/>
    <xf numFmtId="43" fontId="0" fillId="0" borderId="72" xfId="0" applyNumberFormat="1" applyFill="1" applyBorder="1"/>
    <xf numFmtId="43" fontId="0" fillId="0" borderId="42" xfId="0" applyNumberFormat="1" applyFill="1" applyBorder="1"/>
    <xf numFmtId="43" fontId="0" fillId="0" borderId="68" xfId="0" applyNumberFormat="1" applyFill="1" applyBorder="1"/>
    <xf numFmtId="43" fontId="0" fillId="0" borderId="41" xfId="0" applyNumberFormat="1" applyFill="1" applyBorder="1"/>
    <xf numFmtId="0" fontId="0" fillId="19" borderId="64" xfId="0" applyFill="1" applyBorder="1"/>
    <xf numFmtId="0" fontId="0" fillId="19" borderId="65" xfId="0" applyFill="1" applyBorder="1"/>
    <xf numFmtId="43" fontId="0" fillId="19" borderId="65" xfId="0" applyNumberFormat="1" applyFill="1" applyBorder="1"/>
    <xf numFmtId="0" fontId="0" fillId="19" borderId="36" xfId="0" applyFill="1" applyBorder="1"/>
    <xf numFmtId="0" fontId="0" fillId="19" borderId="1" xfId="0" applyFill="1" applyBorder="1"/>
    <xf numFmtId="43" fontId="0" fillId="19" borderId="1" xfId="0" applyNumberFormat="1" applyFill="1" applyBorder="1"/>
    <xf numFmtId="0" fontId="0" fillId="19" borderId="40" xfId="0" applyFill="1" applyBorder="1"/>
    <xf numFmtId="0" fontId="0" fillId="19" borderId="44" xfId="0" applyFill="1" applyBorder="1"/>
    <xf numFmtId="43" fontId="0" fillId="19" borderId="44" xfId="0" applyNumberFormat="1" applyFill="1" applyBorder="1"/>
    <xf numFmtId="43" fontId="0" fillId="19" borderId="71" xfId="0" applyNumberFormat="1" applyFill="1" applyBorder="1"/>
    <xf numFmtId="43" fontId="0" fillId="19" borderId="70" xfId="0" applyNumberFormat="1" applyFill="1" applyBorder="1"/>
    <xf numFmtId="43" fontId="0" fillId="19" borderId="25" xfId="0" applyNumberFormat="1" applyFill="1" applyBorder="1"/>
    <xf numFmtId="43" fontId="0" fillId="19" borderId="72" xfId="0" applyNumberFormat="1" applyFill="1" applyBorder="1"/>
    <xf numFmtId="43" fontId="0" fillId="19" borderId="42" xfId="0" applyNumberFormat="1" applyFill="1" applyBorder="1"/>
    <xf numFmtId="43" fontId="0" fillId="19" borderId="59" xfId="0" applyNumberFormat="1" applyFill="1" applyBorder="1"/>
    <xf numFmtId="43" fontId="0" fillId="19" borderId="67" xfId="0" applyNumberFormat="1" applyFill="1" applyBorder="1"/>
    <xf numFmtId="43" fontId="0" fillId="19" borderId="68" xfId="0" applyNumberFormat="1" applyFill="1" applyBorder="1"/>
    <xf numFmtId="0" fontId="51" fillId="0" borderId="1" xfId="0" applyFont="1" applyFill="1" applyBorder="1" applyAlignment="1">
      <alignment horizontal="left" vertical="center" wrapText="1"/>
    </xf>
    <xf numFmtId="5" fontId="43" fillId="0" borderId="1" xfId="0" applyNumberFormat="1" applyFont="1" applyBorder="1" applyAlignment="1">
      <alignment horizontal="right" vertical="center" wrapText="1"/>
    </xf>
    <xf numFmtId="0" fontId="40" fillId="0" borderId="0" xfId="0" applyFont="1"/>
    <xf numFmtId="0" fontId="43" fillId="0" borderId="0" xfId="0" applyFont="1"/>
    <xf numFmtId="2" fontId="43" fillId="0" borderId="1" xfId="0" applyNumberFormat="1" applyFont="1" applyBorder="1" applyAlignment="1">
      <alignment horizontal="center"/>
    </xf>
    <xf numFmtId="2" fontId="40" fillId="0" borderId="1" xfId="0" applyNumberFormat="1" applyFont="1" applyBorder="1" applyAlignment="1">
      <alignment horizontal="center"/>
    </xf>
    <xf numFmtId="0" fontId="40" fillId="24" borderId="6" xfId="0" applyFont="1" applyFill="1" applyBorder="1" applyAlignment="1">
      <alignment horizontal="center" vertical="center"/>
    </xf>
    <xf numFmtId="178" fontId="43" fillId="0" borderId="1" xfId="0" applyNumberFormat="1" applyFont="1" applyBorder="1" applyAlignment="1">
      <alignment horizontal="center" vertical="center"/>
    </xf>
    <xf numFmtId="165" fontId="43" fillId="0" borderId="1" xfId="0" applyNumberFormat="1" applyFont="1" applyBorder="1" applyAlignment="1">
      <alignment horizontal="center" vertical="center"/>
    </xf>
    <xf numFmtId="165" fontId="43" fillId="0" borderId="0" xfId="0" applyNumberFormat="1" applyFont="1" applyAlignment="1">
      <alignment horizontal="center" vertical="center"/>
    </xf>
    <xf numFmtId="171" fontId="43" fillId="0" borderId="29" xfId="0" applyNumberFormat="1" applyFont="1" applyBorder="1" applyAlignment="1">
      <alignment horizontal="center" vertical="center"/>
    </xf>
    <xf numFmtId="0" fontId="40" fillId="24" borderId="26" xfId="0" applyFont="1" applyFill="1" applyBorder="1" applyAlignment="1">
      <alignment horizontal="center" vertical="center"/>
    </xf>
    <xf numFmtId="0" fontId="40" fillId="24" borderId="4" xfId="0" applyFont="1" applyFill="1" applyBorder="1" applyAlignment="1">
      <alignment horizontal="center" vertical="center"/>
    </xf>
    <xf numFmtId="0" fontId="43" fillId="0" borderId="25" xfId="0" applyFont="1" applyBorder="1" applyAlignment="1">
      <alignment vertical="center"/>
    </xf>
    <xf numFmtId="178" fontId="43" fillId="0" borderId="29" xfId="0" applyNumberFormat="1" applyFont="1" applyBorder="1" applyAlignment="1">
      <alignment horizontal="center" vertical="center"/>
    </xf>
    <xf numFmtId="0" fontId="51" fillId="26" borderId="1" xfId="0" applyFont="1" applyFill="1" applyBorder="1" applyAlignment="1">
      <alignment horizontal="center" vertical="center" wrapText="1"/>
    </xf>
    <xf numFmtId="0" fontId="45" fillId="26" borderId="1" xfId="0" applyFont="1" applyFill="1" applyBorder="1" applyAlignment="1">
      <alignment horizontal="center" vertical="center" wrapText="1"/>
    </xf>
    <xf numFmtId="0" fontId="40" fillId="26" borderId="1" xfId="0" applyFont="1" applyFill="1" applyBorder="1" applyAlignment="1">
      <alignment horizontal="center" vertical="center" wrapText="1"/>
    </xf>
    <xf numFmtId="2" fontId="43" fillId="0" borderId="0" xfId="0" applyNumberFormat="1" applyFont="1" applyFill="1" applyBorder="1" applyAlignment="1">
      <alignment horizontal="center" vertical="center" wrapText="1"/>
    </xf>
    <xf numFmtId="2" fontId="40" fillId="0" borderId="0" xfId="0" applyNumberFormat="1" applyFont="1" applyFill="1" applyBorder="1" applyAlignment="1">
      <alignment horizontal="center" vertical="center" wrapText="1"/>
    </xf>
    <xf numFmtId="2" fontId="43" fillId="0" borderId="0" xfId="0" applyNumberFormat="1" applyFont="1" applyFill="1" applyBorder="1" applyAlignment="1">
      <alignment horizontal="center"/>
    </xf>
    <xf numFmtId="2" fontId="40" fillId="0" borderId="0" xfId="0" applyNumberFormat="1" applyFont="1" applyFill="1" applyBorder="1" applyAlignment="1">
      <alignment horizontal="center"/>
    </xf>
    <xf numFmtId="0" fontId="43" fillId="0" borderId="0" xfId="0" applyFont="1" applyFill="1" applyBorder="1"/>
    <xf numFmtId="179" fontId="43" fillId="0" borderId="0" xfId="0" applyNumberFormat="1" applyFont="1" applyAlignment="1">
      <alignment vertical="center"/>
    </xf>
    <xf numFmtId="0" fontId="51" fillId="0" borderId="1" xfId="0" applyFont="1" applyFill="1" applyBorder="1" applyAlignment="1">
      <alignment horizontal="center" vertical="center" wrapText="1"/>
    </xf>
    <xf numFmtId="0" fontId="46" fillId="0" borderId="0" xfId="0" applyFont="1" applyBorder="1" applyAlignment="1">
      <alignment vertical="center"/>
    </xf>
    <xf numFmtId="0" fontId="39" fillId="0" borderId="0" xfId="0" applyFont="1"/>
    <xf numFmtId="0" fontId="9" fillId="9" borderId="11" xfId="0" applyFont="1" applyFill="1" applyBorder="1" applyAlignment="1">
      <alignment horizontal="left" vertical="top" indent="3"/>
    </xf>
    <xf numFmtId="0" fontId="9" fillId="9" borderId="0" xfId="0" applyFont="1" applyFill="1" applyBorder="1" applyAlignment="1">
      <alignment horizontal="left" vertical="top"/>
    </xf>
    <xf numFmtId="0" fontId="9" fillId="9" borderId="11" xfId="0" applyFont="1" applyFill="1" applyBorder="1" applyAlignment="1">
      <alignment horizontal="left" vertical="top"/>
    </xf>
    <xf numFmtId="0" fontId="9" fillId="0" borderId="12" xfId="0" applyFont="1" applyBorder="1" applyAlignment="1">
      <alignment vertical="top"/>
    </xf>
    <xf numFmtId="0" fontId="9" fillId="9" borderId="11" xfId="0" applyFont="1" applyFill="1" applyBorder="1" applyAlignment="1">
      <alignment horizontal="center" vertical="top"/>
    </xf>
    <xf numFmtId="166" fontId="9" fillId="9" borderId="0" xfId="1" applyNumberFormat="1" applyFont="1" applyFill="1" applyBorder="1" applyAlignment="1">
      <alignment horizontal="center" vertical="top"/>
    </xf>
    <xf numFmtId="166" fontId="9" fillId="9" borderId="12" xfId="1" applyNumberFormat="1" applyFont="1" applyFill="1" applyBorder="1" applyAlignment="1">
      <alignment horizontal="center" vertical="top"/>
    </xf>
    <xf numFmtId="0" fontId="18" fillId="9" borderId="11" xfId="0" applyFont="1" applyFill="1" applyBorder="1" applyAlignment="1">
      <alignment vertical="top"/>
    </xf>
    <xf numFmtId="0" fontId="18" fillId="9" borderId="0" xfId="0" applyFont="1" applyFill="1" applyBorder="1" applyAlignment="1">
      <alignment vertical="top"/>
    </xf>
    <xf numFmtId="0" fontId="9" fillId="9" borderId="11" xfId="0" applyFont="1" applyFill="1" applyBorder="1" applyAlignment="1">
      <alignment horizontal="right" vertical="top"/>
    </xf>
    <xf numFmtId="0" fontId="51" fillId="19" borderId="0" xfId="0" applyFont="1" applyFill="1" applyBorder="1" applyAlignment="1">
      <alignment vertical="center" wrapText="1"/>
    </xf>
    <xf numFmtId="0" fontId="51" fillId="19" borderId="0" xfId="0" applyFont="1" applyFill="1" applyBorder="1" applyAlignment="1">
      <alignment horizontal="center" vertical="center" wrapText="1"/>
    </xf>
    <xf numFmtId="9" fontId="24" fillId="19" borderId="0" xfId="8" applyFont="1" applyFill="1" applyBorder="1" applyAlignment="1">
      <alignment horizontal="center" vertical="center"/>
    </xf>
    <xf numFmtId="170" fontId="24" fillId="19" borderId="0" xfId="0" applyNumberFormat="1" applyFont="1" applyFill="1" applyBorder="1" applyAlignment="1">
      <alignment horizontal="center" vertical="center"/>
    </xf>
    <xf numFmtId="5" fontId="9" fillId="9" borderId="0" xfId="1" applyNumberFormat="1" applyFont="1" applyFill="1" applyBorder="1" applyAlignment="1">
      <alignment vertical="top"/>
    </xf>
    <xf numFmtId="5" fontId="9" fillId="9" borderId="12" xfId="1" applyNumberFormat="1" applyFont="1" applyFill="1" applyBorder="1" applyAlignment="1">
      <alignment vertical="top"/>
    </xf>
    <xf numFmtId="170" fontId="9" fillId="9" borderId="12" xfId="0" applyNumberFormat="1" applyFont="1" applyFill="1" applyBorder="1" applyAlignment="1">
      <alignment vertical="top"/>
    </xf>
    <xf numFmtId="5" fontId="9" fillId="9" borderId="15" xfId="1" applyNumberFormat="1" applyFont="1" applyFill="1" applyBorder="1" applyAlignment="1">
      <alignment vertical="top"/>
    </xf>
    <xf numFmtId="5" fontId="9" fillId="9" borderId="16" xfId="1" applyNumberFormat="1" applyFont="1" applyFill="1" applyBorder="1" applyAlignment="1">
      <alignment vertical="top"/>
    </xf>
    <xf numFmtId="0" fontId="24" fillId="2" borderId="11" xfId="0" applyFont="1" applyFill="1" applyBorder="1" applyAlignment="1">
      <alignment vertical="top"/>
    </xf>
    <xf numFmtId="0" fontId="0" fillId="0" borderId="0" xfId="0" applyFont="1" applyAlignment="1">
      <alignment vertical="top"/>
    </xf>
    <xf numFmtId="0" fontId="24" fillId="2" borderId="0" xfId="0" applyFont="1" applyFill="1" applyBorder="1" applyAlignment="1">
      <alignment vertical="top"/>
    </xf>
    <xf numFmtId="166" fontId="24" fillId="2" borderId="12" xfId="1" applyNumberFormat="1" applyFont="1" applyFill="1" applyBorder="1" applyAlignment="1">
      <alignment vertical="top"/>
    </xf>
    <xf numFmtId="166" fontId="24" fillId="2" borderId="0" xfId="1" applyNumberFormat="1" applyFont="1" applyFill="1" applyBorder="1" applyAlignment="1">
      <alignment vertical="top"/>
    </xf>
    <xf numFmtId="166" fontId="34" fillId="2" borderId="12" xfId="1" applyNumberFormat="1" applyFont="1" applyFill="1" applyBorder="1" applyAlignment="1">
      <alignment vertical="top"/>
    </xf>
    <xf numFmtId="166" fontId="24" fillId="7" borderId="0" xfId="1" applyNumberFormat="1" applyFont="1" applyFill="1" applyAlignment="1">
      <alignment vertical="top"/>
    </xf>
    <xf numFmtId="0" fontId="24" fillId="2" borderId="11" xfId="0" applyFont="1" applyFill="1" applyBorder="1" applyAlignment="1">
      <alignment vertical="top" wrapText="1"/>
    </xf>
    <xf numFmtId="0" fontId="0" fillId="19" borderId="0" xfId="0" applyFont="1" applyFill="1" applyAlignment="1">
      <alignment vertical="top"/>
    </xf>
    <xf numFmtId="0" fontId="5" fillId="19" borderId="0" xfId="0" applyFont="1" applyFill="1" applyAlignment="1">
      <alignment vertical="top"/>
    </xf>
    <xf numFmtId="0" fontId="56" fillId="0" borderId="0" xfId="0" applyFont="1" applyBorder="1" applyAlignment="1">
      <alignment horizontal="left" vertical="center"/>
    </xf>
    <xf numFmtId="0" fontId="56" fillId="0" borderId="0" xfId="0" applyFont="1" applyAlignment="1">
      <alignment horizontal="left" vertical="center"/>
    </xf>
    <xf numFmtId="0" fontId="56" fillId="26" borderId="0" xfId="0" applyFont="1" applyFill="1" applyAlignment="1">
      <alignment horizontal="left" vertical="center"/>
    </xf>
    <xf numFmtId="0" fontId="56" fillId="0" borderId="0" xfId="0" applyFont="1" applyFill="1" applyAlignment="1">
      <alignment horizontal="left" vertical="center"/>
    </xf>
    <xf numFmtId="0" fontId="57" fillId="0" borderId="64" xfId="0" applyFont="1" applyBorder="1" applyAlignment="1">
      <alignment horizontal="center" vertical="center"/>
    </xf>
    <xf numFmtId="0" fontId="57" fillId="0" borderId="70" xfId="0" applyFont="1" applyBorder="1" applyAlignment="1">
      <alignment horizontal="center" vertical="center"/>
    </xf>
    <xf numFmtId="0" fontId="57" fillId="0" borderId="65" xfId="0" applyFont="1" applyBorder="1" applyAlignment="1">
      <alignment horizontal="center" vertical="center"/>
    </xf>
    <xf numFmtId="0" fontId="57" fillId="0" borderId="66" xfId="0" applyFont="1" applyFill="1" applyBorder="1" applyAlignment="1">
      <alignment horizontal="center" vertical="center"/>
    </xf>
    <xf numFmtId="0" fontId="57" fillId="0" borderId="0" xfId="0" applyFont="1" applyFill="1" applyBorder="1" applyAlignment="1">
      <alignment horizontal="center" vertical="center"/>
    </xf>
    <xf numFmtId="0" fontId="57" fillId="0" borderId="25" xfId="0" applyFont="1" applyFill="1" applyBorder="1" applyAlignment="1">
      <alignment horizontal="center" vertical="center"/>
    </xf>
    <xf numFmtId="0" fontId="57" fillId="0" borderId="24" xfId="0" applyFont="1" applyFill="1" applyBorder="1" applyAlignment="1">
      <alignment horizontal="center" vertical="center"/>
    </xf>
    <xf numFmtId="0" fontId="57" fillId="0" borderId="23" xfId="0" applyFont="1" applyFill="1" applyBorder="1" applyAlignment="1">
      <alignment horizontal="center" vertical="center"/>
    </xf>
    <xf numFmtId="0" fontId="58" fillId="0" borderId="38" xfId="0" applyFont="1" applyFill="1" applyBorder="1" applyAlignment="1">
      <alignment horizontal="center" vertical="center" wrapText="1"/>
    </xf>
    <xf numFmtId="9" fontId="57" fillId="0" borderId="23" xfId="8" applyFont="1" applyFill="1" applyBorder="1" applyAlignment="1">
      <alignment horizontal="center" vertical="center"/>
    </xf>
    <xf numFmtId="9" fontId="57" fillId="0" borderId="38" xfId="8" applyFont="1" applyFill="1" applyBorder="1" applyAlignment="1">
      <alignment horizontal="center" vertical="center"/>
    </xf>
    <xf numFmtId="0" fontId="56" fillId="0" borderId="0" xfId="0" applyFont="1" applyFill="1" applyBorder="1" applyAlignment="1">
      <alignment horizontal="left" vertical="center"/>
    </xf>
    <xf numFmtId="0" fontId="58" fillId="26" borderId="38" xfId="0" applyFont="1" applyFill="1" applyBorder="1" applyAlignment="1">
      <alignment horizontal="center" vertical="center" wrapText="1"/>
    </xf>
    <xf numFmtId="0" fontId="58" fillId="2" borderId="23" xfId="0" applyFont="1" applyFill="1" applyBorder="1" applyAlignment="1">
      <alignment horizontal="center" vertical="center" wrapText="1"/>
    </xf>
    <xf numFmtId="0" fontId="58" fillId="2" borderId="38" xfId="0" applyFont="1" applyFill="1" applyBorder="1" applyAlignment="1">
      <alignment horizontal="center" vertical="center" wrapText="1"/>
    </xf>
    <xf numFmtId="0" fontId="57" fillId="0" borderId="1" xfId="0" applyFont="1" applyBorder="1" applyAlignment="1">
      <alignment horizontal="left" vertical="center"/>
    </xf>
    <xf numFmtId="0" fontId="57" fillId="0" borderId="1" xfId="0" applyFont="1" applyFill="1" applyBorder="1" applyAlignment="1">
      <alignment horizontal="left" vertical="center"/>
    </xf>
    <xf numFmtId="0" fontId="56" fillId="0" borderId="36" xfId="0" applyFont="1" applyBorder="1" applyAlignment="1">
      <alignment horizontal="center" vertical="center" wrapText="1"/>
    </xf>
    <xf numFmtId="0" fontId="56" fillId="0" borderId="25" xfId="0" applyFont="1" applyBorder="1" applyAlignment="1">
      <alignment horizontal="center" vertical="center"/>
    </xf>
    <xf numFmtId="170" fontId="56" fillId="0" borderId="1" xfId="1" applyNumberFormat="1" applyFont="1" applyBorder="1" applyAlignment="1">
      <alignment horizontal="center" vertical="center" wrapText="1"/>
    </xf>
    <xf numFmtId="170" fontId="56" fillId="0" borderId="38" xfId="1" applyNumberFormat="1" applyFont="1" applyBorder="1" applyAlignment="1">
      <alignment horizontal="center" vertical="center" wrapText="1"/>
    </xf>
    <xf numFmtId="170" fontId="56" fillId="0" borderId="23" xfId="2" applyNumberFormat="1" applyFont="1" applyBorder="1" applyAlignment="1">
      <alignment horizontal="center" vertical="center"/>
    </xf>
    <xf numFmtId="170" fontId="56" fillId="0" borderId="38" xfId="0" applyNumberFormat="1" applyFont="1" applyFill="1" applyBorder="1" applyAlignment="1">
      <alignment horizontal="center" vertical="center"/>
    </xf>
    <xf numFmtId="0" fontId="57" fillId="0" borderId="1" xfId="0" applyFont="1" applyBorder="1" applyAlignment="1">
      <alignment horizontal="center" vertical="center" wrapText="1"/>
    </xf>
    <xf numFmtId="0" fontId="57" fillId="0" borderId="1" xfId="0" applyFont="1" applyFill="1" applyBorder="1" applyAlignment="1">
      <alignment horizontal="center" vertical="center" wrapText="1"/>
    </xf>
    <xf numFmtId="166" fontId="56" fillId="0" borderId="1" xfId="1" applyNumberFormat="1" applyFont="1" applyBorder="1" applyAlignment="1">
      <alignment horizontal="left" vertical="center" wrapText="1"/>
    </xf>
    <xf numFmtId="44" fontId="56" fillId="0" borderId="1" xfId="0" applyNumberFormat="1" applyFont="1" applyBorder="1" applyAlignment="1">
      <alignment horizontal="left" vertical="center"/>
    </xf>
    <xf numFmtId="44" fontId="56" fillId="0" borderId="1" xfId="2" applyFont="1" applyBorder="1" applyAlignment="1">
      <alignment horizontal="left" vertical="center"/>
    </xf>
    <xf numFmtId="44" fontId="56" fillId="0" borderId="1" xfId="0" applyNumberFormat="1" applyFont="1" applyFill="1" applyBorder="1" applyAlignment="1">
      <alignment horizontal="left" vertical="center"/>
    </xf>
    <xf numFmtId="10" fontId="56" fillId="17" borderId="1" xfId="8" applyNumberFormat="1" applyFont="1" applyFill="1" applyBorder="1" applyAlignment="1">
      <alignment horizontal="left" vertical="center"/>
    </xf>
    <xf numFmtId="0" fontId="56" fillId="17" borderId="1" xfId="0" applyFont="1" applyFill="1" applyBorder="1" applyAlignment="1">
      <alignment horizontal="left" vertical="center"/>
    </xf>
    <xf numFmtId="183" fontId="56" fillId="17" borderId="1" xfId="2" applyNumberFormat="1" applyFont="1" applyFill="1" applyBorder="1" applyAlignment="1">
      <alignment horizontal="left" vertical="center"/>
    </xf>
    <xf numFmtId="9" fontId="56" fillId="0" borderId="0" xfId="8" applyFont="1" applyAlignment="1">
      <alignment horizontal="left" vertical="center"/>
    </xf>
    <xf numFmtId="9" fontId="56" fillId="17" borderId="1" xfId="8" applyFont="1" applyFill="1" applyBorder="1" applyAlignment="1">
      <alignment horizontal="left" vertical="center"/>
    </xf>
    <xf numFmtId="2" fontId="56" fillId="17" borderId="1" xfId="8" applyNumberFormat="1" applyFont="1" applyFill="1" applyBorder="1" applyAlignment="1">
      <alignment horizontal="left" vertical="center"/>
    </xf>
    <xf numFmtId="44" fontId="56" fillId="17" borderId="1" xfId="2" applyFont="1" applyFill="1" applyBorder="1" applyAlignment="1">
      <alignment horizontal="left" vertical="center"/>
    </xf>
    <xf numFmtId="0" fontId="57" fillId="0" borderId="1" xfId="0" applyFont="1" applyBorder="1" applyAlignment="1">
      <alignment horizontal="center" vertical="center"/>
    </xf>
    <xf numFmtId="0" fontId="56" fillId="0" borderId="25" xfId="0" applyFont="1" applyBorder="1" applyAlignment="1">
      <alignment vertical="center"/>
    </xf>
    <xf numFmtId="0" fontId="56" fillId="0" borderId="24" xfId="0" applyFont="1" applyBorder="1" applyAlignment="1">
      <alignment vertical="center"/>
    </xf>
    <xf numFmtId="0" fontId="56" fillId="0" borderId="23" xfId="0" applyFont="1" applyBorder="1" applyAlignment="1">
      <alignment vertical="center"/>
    </xf>
    <xf numFmtId="0" fontId="57" fillId="0" borderId="39" xfId="0" applyFont="1" applyFill="1" applyBorder="1" applyAlignment="1">
      <alignment horizontal="left" vertical="center"/>
    </xf>
    <xf numFmtId="170" fontId="57" fillId="26" borderId="41" xfId="0" applyNumberFormat="1" applyFont="1" applyFill="1" applyBorder="1" applyAlignment="1">
      <alignment horizontal="center" vertical="center"/>
    </xf>
    <xf numFmtId="170" fontId="57" fillId="2" borderId="41" xfId="0" applyNumberFormat="1" applyFont="1" applyFill="1" applyBorder="1" applyAlignment="1">
      <alignment horizontal="center" vertical="center"/>
    </xf>
    <xf numFmtId="0" fontId="57" fillId="2" borderId="0" xfId="0" applyFont="1" applyFill="1" applyBorder="1" applyAlignment="1">
      <alignment horizontal="center" vertical="center"/>
    </xf>
    <xf numFmtId="44" fontId="57" fillId="2" borderId="0" xfId="0" applyNumberFormat="1" applyFont="1" applyFill="1" applyBorder="1" applyAlignment="1">
      <alignment horizontal="left" vertical="center"/>
    </xf>
    <xf numFmtId="0" fontId="57" fillId="0" borderId="66" xfId="0" applyFont="1" applyBorder="1" applyAlignment="1">
      <alignment horizontal="center" vertical="center"/>
    </xf>
    <xf numFmtId="0" fontId="57" fillId="0" borderId="64" xfId="0" applyFont="1" applyFill="1" applyBorder="1" applyAlignment="1">
      <alignment horizontal="center" vertical="center"/>
    </xf>
    <xf numFmtId="9" fontId="57" fillId="0" borderId="36" xfId="8" applyFont="1" applyFill="1" applyBorder="1" applyAlignment="1">
      <alignment horizontal="center" vertical="center"/>
    </xf>
    <xf numFmtId="0" fontId="58" fillId="2" borderId="36" xfId="0" applyFont="1" applyFill="1" applyBorder="1" applyAlignment="1">
      <alignment horizontal="center" vertical="center" wrapText="1"/>
    </xf>
    <xf numFmtId="0" fontId="56" fillId="0" borderId="38" xfId="0" applyFont="1" applyBorder="1" applyAlignment="1">
      <alignment horizontal="center" vertical="center"/>
    </xf>
    <xf numFmtId="3" fontId="56" fillId="0" borderId="36" xfId="1" applyNumberFormat="1" applyFont="1" applyBorder="1" applyAlignment="1">
      <alignment horizontal="right" vertical="center" wrapText="1"/>
    </xf>
    <xf numFmtId="170" fontId="56" fillId="0" borderId="38" xfId="1" applyNumberFormat="1" applyFont="1" applyBorder="1" applyAlignment="1">
      <alignment horizontal="right" vertical="center" wrapText="1"/>
    </xf>
    <xf numFmtId="0" fontId="57" fillId="0" borderId="40" xfId="0" applyFont="1" applyBorder="1" applyAlignment="1">
      <alignment horizontal="left" vertical="center"/>
    </xf>
    <xf numFmtId="0" fontId="57" fillId="0" borderId="41" xfId="0" applyFont="1" applyBorder="1" applyAlignment="1">
      <alignment vertical="center"/>
    </xf>
    <xf numFmtId="170" fontId="57" fillId="26" borderId="41" xfId="1" applyNumberFormat="1" applyFont="1" applyFill="1" applyBorder="1" applyAlignment="1">
      <alignment horizontal="right" vertical="center" wrapText="1"/>
    </xf>
    <xf numFmtId="170" fontId="57" fillId="2" borderId="40" xfId="0" applyNumberFormat="1" applyFont="1" applyFill="1" applyBorder="1" applyAlignment="1">
      <alignment horizontal="center" vertical="center"/>
    </xf>
    <xf numFmtId="170" fontId="56" fillId="0" borderId="36" xfId="2" applyNumberFormat="1" applyFont="1" applyBorder="1" applyAlignment="1">
      <alignment horizontal="center" vertical="center"/>
    </xf>
    <xf numFmtId="0" fontId="57" fillId="0" borderId="42" xfId="0" applyFont="1" applyBorder="1" applyAlignment="1">
      <alignment vertical="center"/>
    </xf>
    <xf numFmtId="0" fontId="55" fillId="0" borderId="0" xfId="0" applyFont="1" applyBorder="1" applyAlignment="1">
      <alignment vertical="center"/>
    </xf>
    <xf numFmtId="0" fontId="56" fillId="0" borderId="66" xfId="0" applyFont="1" applyBorder="1" applyAlignment="1">
      <alignment horizontal="center" vertical="center"/>
    </xf>
    <xf numFmtId="0" fontId="58" fillId="0" borderId="0" xfId="0" applyFont="1" applyFill="1" applyBorder="1" applyAlignment="1">
      <alignment horizontal="center" vertical="center" wrapText="1"/>
    </xf>
    <xf numFmtId="0" fontId="57" fillId="0" borderId="65" xfId="0" applyFont="1" applyFill="1" applyBorder="1" applyAlignment="1">
      <alignment horizontal="center" vertical="center"/>
    </xf>
    <xf numFmtId="0" fontId="56" fillId="0" borderId="0" xfId="0" applyFont="1" applyBorder="1" applyAlignment="1">
      <alignment horizontal="center" vertical="center"/>
    </xf>
    <xf numFmtId="0" fontId="56" fillId="0" borderId="0" xfId="0" applyFont="1" applyAlignment="1">
      <alignment horizontal="center" vertical="center"/>
    </xf>
    <xf numFmtId="0" fontId="56" fillId="26" borderId="0" xfId="0" applyFont="1" applyFill="1" applyAlignment="1">
      <alignment horizontal="center" vertical="center"/>
    </xf>
    <xf numFmtId="44" fontId="57" fillId="2" borderId="0" xfId="0" applyNumberFormat="1" applyFont="1" applyFill="1" applyBorder="1" applyAlignment="1">
      <alignment horizontal="center" vertical="center"/>
    </xf>
    <xf numFmtId="0" fontId="56" fillId="0" borderId="0" xfId="0" applyFont="1" applyFill="1" applyAlignment="1">
      <alignment horizontal="center" vertical="center"/>
    </xf>
    <xf numFmtId="0" fontId="56" fillId="0" borderId="24" xfId="0" applyFont="1" applyBorder="1" applyAlignment="1">
      <alignment horizontal="center" vertical="center"/>
    </xf>
    <xf numFmtId="0" fontId="56" fillId="0" borderId="23" xfId="0" applyFont="1" applyBorder="1" applyAlignment="1">
      <alignment horizontal="center" vertical="center"/>
    </xf>
    <xf numFmtId="170" fontId="56" fillId="19" borderId="38" xfId="0" applyNumberFormat="1" applyFont="1" applyFill="1" applyBorder="1" applyAlignment="1">
      <alignment vertical="center"/>
    </xf>
    <xf numFmtId="170" fontId="57" fillId="26" borderId="40" xfId="1" applyNumberFormat="1" applyFont="1" applyFill="1" applyBorder="1" applyAlignment="1">
      <alignment horizontal="right" vertical="center" wrapText="1"/>
    </xf>
    <xf numFmtId="0" fontId="57" fillId="0" borderId="0" xfId="0" applyFont="1" applyBorder="1" applyAlignment="1">
      <alignment horizontal="center" vertical="center"/>
    </xf>
    <xf numFmtId="0" fontId="56" fillId="0" borderId="0" xfId="0" applyFont="1" applyBorder="1" applyAlignment="1">
      <alignment vertical="center"/>
    </xf>
    <xf numFmtId="0" fontId="56" fillId="0" borderId="64" xfId="74" applyFont="1" applyBorder="1" applyAlignment="1">
      <alignment horizontal="center" wrapText="1"/>
    </xf>
    <xf numFmtId="9" fontId="57" fillId="0" borderId="1" xfId="8" applyFont="1" applyFill="1" applyBorder="1" applyAlignment="1">
      <alignment horizontal="center" vertical="center"/>
    </xf>
    <xf numFmtId="0" fontId="58" fillId="2" borderId="1" xfId="0" applyFont="1" applyFill="1" applyBorder="1" applyAlignment="1">
      <alignment horizontal="center" vertical="center" wrapText="1"/>
    </xf>
    <xf numFmtId="0" fontId="56" fillId="0" borderId="1" xfId="0" applyFont="1" applyBorder="1" applyAlignment="1">
      <alignment horizontal="center" vertical="center"/>
    </xf>
    <xf numFmtId="0" fontId="56" fillId="0" borderId="38" xfId="1" applyNumberFormat="1" applyFont="1" applyBorder="1" applyAlignment="1">
      <alignment horizontal="center" vertical="center" wrapText="1"/>
    </xf>
    <xf numFmtId="170" fontId="56" fillId="0" borderId="1" xfId="2" applyNumberFormat="1" applyFont="1" applyBorder="1" applyAlignment="1">
      <alignment horizontal="center" vertical="center"/>
    </xf>
    <xf numFmtId="0" fontId="56" fillId="0" borderId="1" xfId="74" applyFont="1" applyBorder="1" applyAlignment="1">
      <alignment horizontal="center" wrapText="1"/>
    </xf>
    <xf numFmtId="0" fontId="56" fillId="0" borderId="38" xfId="74" applyFont="1" applyBorder="1" applyAlignment="1">
      <alignment horizontal="center" wrapText="1"/>
    </xf>
    <xf numFmtId="170" fontId="56" fillId="0" borderId="38" xfId="2" applyNumberFormat="1" applyFont="1" applyBorder="1" applyAlignment="1">
      <alignment horizontal="center" vertical="center"/>
    </xf>
    <xf numFmtId="170" fontId="56" fillId="0" borderId="1" xfId="74" applyNumberFormat="1" applyFont="1" applyBorder="1" applyAlignment="1">
      <alignment horizontal="center" wrapText="1"/>
    </xf>
    <xf numFmtId="0" fontId="56" fillId="0" borderId="1" xfId="74" applyFont="1" applyBorder="1" applyAlignment="1">
      <alignment wrapText="1"/>
    </xf>
    <xf numFmtId="0" fontId="57" fillId="0" borderId="40" xfId="0" applyFont="1" applyBorder="1" applyAlignment="1">
      <alignment horizontal="right" vertical="center"/>
    </xf>
    <xf numFmtId="0" fontId="57" fillId="0" borderId="44" xfId="0" applyFont="1" applyBorder="1" applyAlignment="1">
      <alignment vertical="center"/>
    </xf>
    <xf numFmtId="170" fontId="57" fillId="26" borderId="44" xfId="1" applyNumberFormat="1" applyFont="1" applyFill="1" applyBorder="1" applyAlignment="1">
      <alignment horizontal="center" vertical="center" wrapText="1"/>
    </xf>
    <xf numFmtId="170" fontId="57" fillId="26" borderId="41" xfId="1" applyNumberFormat="1" applyFont="1" applyFill="1" applyBorder="1" applyAlignment="1">
      <alignment horizontal="center" vertical="center" wrapText="1"/>
    </xf>
    <xf numFmtId="170" fontId="57" fillId="2" borderId="44" xfId="0" applyNumberFormat="1" applyFont="1" applyFill="1" applyBorder="1" applyAlignment="1">
      <alignment horizontal="center" vertical="center"/>
    </xf>
    <xf numFmtId="44" fontId="56" fillId="0" borderId="0" xfId="2" applyFont="1" applyAlignment="1">
      <alignment horizontal="left" vertical="center"/>
    </xf>
    <xf numFmtId="170" fontId="56" fillId="0" borderId="0" xfId="0" applyNumberFormat="1" applyFont="1" applyAlignment="1">
      <alignment horizontal="left" vertical="center"/>
    </xf>
    <xf numFmtId="0" fontId="17" fillId="0" borderId="11" xfId="0" applyFont="1" applyBorder="1" applyAlignment="1">
      <alignment vertical="top"/>
    </xf>
    <xf numFmtId="0" fontId="17" fillId="0" borderId="0" xfId="0" applyFont="1" applyBorder="1" applyAlignment="1">
      <alignment vertical="top"/>
    </xf>
    <xf numFmtId="170" fontId="56" fillId="0" borderId="0" xfId="0" applyNumberFormat="1" applyFont="1" applyBorder="1" applyAlignment="1">
      <alignment horizontal="left" vertical="center"/>
    </xf>
    <xf numFmtId="0" fontId="56" fillId="0" borderId="0" xfId="0" applyFont="1" applyAlignment="1">
      <alignment horizontal="center" vertical="center" wrapText="1"/>
    </xf>
    <xf numFmtId="164" fontId="52" fillId="31" borderId="1" xfId="0" applyNumberFormat="1" applyFont="1" applyFill="1" applyBorder="1" applyAlignment="1">
      <alignment horizontal="center" vertical="center"/>
    </xf>
    <xf numFmtId="170" fontId="57" fillId="0" borderId="0" xfId="0" applyNumberFormat="1" applyFont="1" applyFill="1" applyBorder="1" applyAlignment="1">
      <alignment horizontal="center" vertical="center"/>
    </xf>
    <xf numFmtId="0" fontId="58" fillId="0" borderId="0" xfId="0" applyFont="1" applyFill="1" applyBorder="1" applyAlignment="1">
      <alignment vertical="center" wrapText="1"/>
    </xf>
    <xf numFmtId="170" fontId="56" fillId="0" borderId="0" xfId="1" applyNumberFormat="1" applyFont="1" applyFill="1" applyBorder="1" applyAlignment="1">
      <alignment horizontal="center" vertical="center" wrapText="1"/>
    </xf>
    <xf numFmtId="0" fontId="57" fillId="0" borderId="68" xfId="0" applyFont="1" applyFill="1" applyBorder="1" applyAlignment="1">
      <alignment vertical="center"/>
    </xf>
    <xf numFmtId="0" fontId="22" fillId="6" borderId="11" xfId="0" applyFont="1" applyFill="1" applyBorder="1" applyAlignment="1">
      <alignment vertical="top" wrapText="1"/>
    </xf>
    <xf numFmtId="0" fontId="9" fillId="6" borderId="12" xfId="0" applyFont="1" applyFill="1" applyBorder="1" applyAlignment="1">
      <alignment horizontal="left" vertical="top" wrapText="1"/>
    </xf>
    <xf numFmtId="188" fontId="9" fillId="0" borderId="0" xfId="2" applyNumberFormat="1" applyFont="1" applyAlignment="1">
      <alignment vertical="top"/>
    </xf>
    <xf numFmtId="0" fontId="9" fillId="0" borderId="9" xfId="74" applyFont="1" applyBorder="1" applyAlignment="1">
      <alignment horizontal="right" vertical="top"/>
    </xf>
    <xf numFmtId="0" fontId="14" fillId="2" borderId="12" xfId="0" applyFont="1" applyFill="1" applyBorder="1" applyAlignment="1">
      <alignment horizontal="center" vertical="center" wrapText="1"/>
    </xf>
    <xf numFmtId="0" fontId="14" fillId="2" borderId="0" xfId="5" applyFont="1" applyFill="1" applyBorder="1" applyAlignment="1">
      <alignment horizontal="center" vertical="center" wrapText="1"/>
    </xf>
    <xf numFmtId="0" fontId="58" fillId="28" borderId="36" xfId="0" applyFont="1" applyFill="1" applyBorder="1" applyAlignment="1">
      <alignment horizontal="center" vertical="center" wrapText="1"/>
    </xf>
    <xf numFmtId="0" fontId="58" fillId="28" borderId="38" xfId="0" applyFont="1" applyFill="1" applyBorder="1" applyAlignment="1">
      <alignment horizontal="center" vertical="center" wrapText="1"/>
    </xf>
    <xf numFmtId="0" fontId="58" fillId="2" borderId="38" xfId="0" applyFont="1" applyFill="1" applyBorder="1" applyAlignment="1">
      <alignment horizontal="center" vertical="center" wrapText="1"/>
    </xf>
    <xf numFmtId="0" fontId="58" fillId="26" borderId="38" xfId="0" applyFont="1" applyFill="1" applyBorder="1" applyAlignment="1">
      <alignment horizontal="center" vertical="center" wrapText="1"/>
    </xf>
    <xf numFmtId="0" fontId="9" fillId="6" borderId="12" xfId="0" applyFont="1" applyFill="1" applyBorder="1" applyAlignment="1">
      <alignment horizontal="left" vertical="top" wrapText="1"/>
    </xf>
    <xf numFmtId="0" fontId="14" fillId="2" borderId="0" xfId="5" applyFont="1" applyFill="1" applyBorder="1" applyAlignment="1">
      <alignment horizontal="left" vertical="top" wrapText="1"/>
    </xf>
    <xf numFmtId="166" fontId="0" fillId="0" borderId="0" xfId="1" applyNumberFormat="1" applyFont="1"/>
    <xf numFmtId="166" fontId="0" fillId="0" borderId="0" xfId="0" applyNumberFormat="1"/>
    <xf numFmtId="168" fontId="0" fillId="0" borderId="0" xfId="8" applyNumberFormat="1" applyFont="1"/>
    <xf numFmtId="43" fontId="0" fillId="0" borderId="0" xfId="0" applyNumberFormat="1"/>
    <xf numFmtId="0" fontId="0" fillId="0" borderId="0" xfId="0" applyFont="1" applyAlignment="1">
      <alignment horizontal="center"/>
    </xf>
    <xf numFmtId="0" fontId="14" fillId="2" borderId="0" xfId="5" applyFont="1" applyFill="1" applyBorder="1" applyAlignment="1">
      <alignment horizontal="center" vertical="center" wrapText="1"/>
    </xf>
    <xf numFmtId="167" fontId="0" fillId="0" borderId="0" xfId="0" applyNumberFormat="1"/>
    <xf numFmtId="0" fontId="5" fillId="0" borderId="2" xfId="0" applyFont="1" applyBorder="1" applyAlignment="1">
      <alignment vertical="center"/>
    </xf>
    <xf numFmtId="0" fontId="5" fillId="0" borderId="27" xfId="0" applyFont="1" applyBorder="1" applyAlignment="1">
      <alignment vertical="center"/>
    </xf>
    <xf numFmtId="0" fontId="9" fillId="0" borderId="24" xfId="0" applyFont="1" applyBorder="1" applyAlignment="1">
      <alignment horizontal="center" vertical="center" wrapText="1"/>
    </xf>
    <xf numFmtId="0" fontId="0" fillId="0" borderId="0" xfId="0" applyFont="1" applyFill="1" applyBorder="1" applyAlignment="1">
      <alignment horizontal="center" vertical="center"/>
    </xf>
    <xf numFmtId="2" fontId="0" fillId="0" borderId="0" xfId="0" applyNumberFormat="1" applyFont="1" applyFill="1" applyBorder="1" applyAlignment="1">
      <alignment horizontal="center" vertical="center"/>
    </xf>
    <xf numFmtId="0" fontId="24" fillId="0" borderId="24" xfId="0" applyFont="1" applyFill="1" applyBorder="1" applyAlignment="1">
      <alignment horizontal="center" vertical="center"/>
    </xf>
    <xf numFmtId="2" fontId="24" fillId="0" borderId="24" xfId="0" applyNumberFormat="1" applyFont="1" applyFill="1" applyBorder="1" applyAlignment="1">
      <alignment horizontal="center" vertical="center"/>
    </xf>
    <xf numFmtId="0" fontId="24" fillId="0" borderId="24" xfId="0" applyFont="1" applyFill="1" applyBorder="1" applyAlignment="1">
      <alignment horizontal="center" vertical="center" wrapText="1"/>
    </xf>
    <xf numFmtId="0" fontId="33" fillId="2" borderId="11" xfId="11" applyFont="1" applyFill="1" applyBorder="1" applyAlignment="1">
      <alignment vertical="top" wrapText="1"/>
    </xf>
    <xf numFmtId="0" fontId="14" fillId="2" borderId="7" xfId="5" applyFont="1" applyFill="1" applyBorder="1" applyAlignment="1">
      <alignment vertical="top" wrapText="1"/>
    </xf>
    <xf numFmtId="0" fontId="14" fillId="2" borderId="8" xfId="5" applyFont="1" applyFill="1" applyBorder="1" applyAlignment="1">
      <alignment vertical="top"/>
    </xf>
    <xf numFmtId="0" fontId="14" fillId="2" borderId="8" xfId="5" applyFont="1" applyFill="1" applyBorder="1" applyAlignment="1">
      <alignment horizontal="center" vertical="top"/>
    </xf>
    <xf numFmtId="0" fontId="14" fillId="2" borderId="8" xfId="5" applyFont="1" applyFill="1" applyBorder="1" applyAlignment="1">
      <alignment vertical="top" wrapText="1"/>
    </xf>
    <xf numFmtId="0" fontId="14" fillId="2" borderId="9" xfId="5" applyFont="1" applyFill="1" applyBorder="1" applyAlignment="1">
      <alignment vertical="top" wrapText="1"/>
    </xf>
    <xf numFmtId="0" fontId="14" fillId="2" borderId="14" xfId="11" applyFont="1" applyFill="1" applyBorder="1" applyAlignment="1">
      <alignment vertical="top" wrapText="1"/>
    </xf>
    <xf numFmtId="43" fontId="14" fillId="2" borderId="15" xfId="11" applyNumberFormat="1" applyFont="1" applyFill="1" applyBorder="1" applyAlignment="1">
      <alignment vertical="top"/>
    </xf>
    <xf numFmtId="1" fontId="9" fillId="2" borderId="15" xfId="0" applyNumberFormat="1" applyFont="1" applyFill="1" applyBorder="1" applyAlignment="1">
      <alignment horizontal="right" vertical="top"/>
    </xf>
    <xf numFmtId="43" fontId="12" fillId="2" borderId="15" xfId="1" applyNumberFormat="1" applyFont="1" applyFill="1" applyBorder="1" applyAlignment="1">
      <alignment vertical="top"/>
    </xf>
    <xf numFmtId="0" fontId="9" fillId="2" borderId="15" xfId="11" applyFont="1" applyFill="1" applyBorder="1" applyAlignment="1">
      <alignment horizontal="left" vertical="top" wrapText="1"/>
    </xf>
    <xf numFmtId="0" fontId="12" fillId="2" borderId="16" xfId="11" applyFont="1" applyFill="1" applyBorder="1" applyAlignment="1">
      <alignment vertical="top" wrapText="1"/>
    </xf>
    <xf numFmtId="0" fontId="58" fillId="2" borderId="36" xfId="0" applyFont="1" applyFill="1" applyBorder="1" applyAlignment="1">
      <alignment horizontal="center" vertical="center" wrapText="1"/>
    </xf>
    <xf numFmtId="0" fontId="58" fillId="2" borderId="38" xfId="0" applyFont="1" applyFill="1" applyBorder="1" applyAlignment="1">
      <alignment horizontal="center" vertical="center" wrapText="1"/>
    </xf>
    <xf numFmtId="0" fontId="58" fillId="26" borderId="38"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0" fillId="0" borderId="0" xfId="0"/>
    <xf numFmtId="0" fontId="51" fillId="28" borderId="1" xfId="0" applyFont="1" applyFill="1" applyBorder="1" applyAlignment="1">
      <alignment horizontal="center" vertical="center" wrapText="1"/>
    </xf>
    <xf numFmtId="0" fontId="58" fillId="28" borderId="36" xfId="0" applyFont="1" applyFill="1" applyBorder="1" applyAlignment="1">
      <alignment vertical="center" wrapText="1"/>
    </xf>
    <xf numFmtId="0" fontId="5" fillId="0" borderId="27" xfId="0" applyFont="1" applyBorder="1" applyAlignment="1">
      <alignment horizontal="center" vertical="center"/>
    </xf>
    <xf numFmtId="9" fontId="5" fillId="0" borderId="27" xfId="8" applyFont="1" applyBorder="1" applyAlignment="1">
      <alignment horizontal="center" vertical="center"/>
    </xf>
    <xf numFmtId="9" fontId="5" fillId="0" borderId="27" xfId="8" applyNumberFormat="1" applyFont="1" applyBorder="1" applyAlignment="1">
      <alignment horizontal="center" vertical="center"/>
    </xf>
    <xf numFmtId="0" fontId="5" fillId="0" borderId="0" xfId="0" applyFont="1" applyBorder="1" applyAlignment="1">
      <alignment horizontal="center" vertical="center"/>
    </xf>
    <xf numFmtId="9" fontId="5" fillId="0" borderId="0" xfId="8" applyFont="1" applyBorder="1" applyAlignment="1">
      <alignment horizontal="center" vertical="center"/>
    </xf>
    <xf numFmtId="9" fontId="5" fillId="0" borderId="0" xfId="8" applyNumberFormat="1" applyFont="1" applyBorder="1" applyAlignment="1">
      <alignment horizontal="center" vertical="center"/>
    </xf>
    <xf numFmtId="0" fontId="5" fillId="0" borderId="2" xfId="0" applyFont="1" applyBorder="1" applyAlignment="1">
      <alignment horizontal="center" vertical="center"/>
    </xf>
    <xf numFmtId="9" fontId="5" fillId="0" borderId="2" xfId="8" applyFont="1" applyBorder="1" applyAlignment="1">
      <alignment horizontal="center" vertical="center"/>
    </xf>
    <xf numFmtId="9" fontId="5" fillId="0" borderId="2" xfId="8" applyNumberFormat="1" applyFont="1" applyBorder="1" applyAlignment="1">
      <alignment horizontal="center" vertical="center"/>
    </xf>
    <xf numFmtId="0" fontId="9" fillId="0" borderId="24" xfId="0" applyFont="1" applyBorder="1" applyAlignment="1">
      <alignment vertical="center"/>
    </xf>
    <xf numFmtId="0" fontId="57" fillId="0" borderId="31" xfId="0" applyFont="1" applyBorder="1" applyAlignment="1">
      <alignment horizontal="center" vertical="center"/>
    </xf>
    <xf numFmtId="0" fontId="9" fillId="6" borderId="12" xfId="0" applyFont="1" applyFill="1" applyBorder="1" applyAlignment="1">
      <alignment horizontal="left" vertical="top" wrapText="1"/>
    </xf>
    <xf numFmtId="0" fontId="0" fillId="0" borderId="0" xfId="0"/>
    <xf numFmtId="0" fontId="0" fillId="0" borderId="24" xfId="0" applyBorder="1"/>
    <xf numFmtId="0" fontId="0" fillId="0" borderId="24" xfId="0" applyBorder="1" applyAlignment="1">
      <alignment horizontal="center"/>
    </xf>
    <xf numFmtId="0" fontId="0" fillId="0" borderId="2" xfId="0" applyBorder="1"/>
    <xf numFmtId="168" fontId="0" fillId="0" borderId="2" xfId="8" applyNumberFormat="1" applyFont="1" applyBorder="1"/>
    <xf numFmtId="0" fontId="5" fillId="0" borderId="0" xfId="0" applyFont="1" applyBorder="1" applyAlignment="1">
      <alignment vertical="top" wrapText="1"/>
    </xf>
    <xf numFmtId="0" fontId="14" fillId="0" borderId="2" xfId="0" applyFont="1" applyBorder="1" applyAlignment="1">
      <alignment horizontal="center"/>
    </xf>
    <xf numFmtId="0" fontId="14" fillId="0" borderId="0" xfId="0" applyFont="1" applyAlignment="1">
      <alignment horizontal="center"/>
    </xf>
    <xf numFmtId="166" fontId="0" fillId="0" borderId="0" xfId="0" applyNumberFormat="1" applyAlignment="1">
      <alignment horizontal="center"/>
    </xf>
    <xf numFmtId="2" fontId="0" fillId="0" borderId="0" xfId="0" applyNumberFormat="1" applyFont="1" applyAlignment="1">
      <alignment horizontal="center" vertical="center"/>
    </xf>
    <xf numFmtId="0" fontId="14" fillId="2" borderId="11" xfId="11" quotePrefix="1" applyFont="1" applyFill="1" applyBorder="1" applyAlignment="1">
      <alignment vertical="top" wrapText="1"/>
    </xf>
    <xf numFmtId="0" fontId="14" fillId="0" borderId="2" xfId="0" applyFont="1" applyFill="1" applyBorder="1" applyAlignment="1">
      <alignment horizontal="center"/>
    </xf>
    <xf numFmtId="0" fontId="24" fillId="0" borderId="0" xfId="0" applyFont="1"/>
    <xf numFmtId="166" fontId="43" fillId="0" borderId="0" xfId="1" applyNumberFormat="1" applyFont="1"/>
    <xf numFmtId="2" fontId="9" fillId="9" borderId="12" xfId="0" applyNumberFormat="1" applyFont="1" applyFill="1" applyBorder="1" applyAlignment="1">
      <alignment vertical="top"/>
    </xf>
    <xf numFmtId="179" fontId="9" fillId="2" borderId="0" xfId="1" applyNumberFormat="1" applyFont="1" applyFill="1" applyBorder="1" applyAlignment="1">
      <alignment vertical="top"/>
    </xf>
    <xf numFmtId="0" fontId="43" fillId="0" borderId="0" xfId="0" applyFont="1" applyFill="1" applyAlignment="1">
      <alignment horizontal="center" vertical="center"/>
    </xf>
    <xf numFmtId="5" fontId="43" fillId="0" borderId="0" xfId="0" applyNumberFormat="1" applyFont="1" applyAlignment="1">
      <alignment vertical="center"/>
    </xf>
    <xf numFmtId="165" fontId="43" fillId="0" borderId="77" xfId="0" applyNumberFormat="1" applyFont="1" applyBorder="1" applyAlignment="1">
      <alignment horizontal="center" vertical="center"/>
    </xf>
    <xf numFmtId="5" fontId="43" fillId="0" borderId="77" xfId="0" applyNumberFormat="1" applyFont="1" applyBorder="1" applyAlignment="1">
      <alignment vertical="center"/>
    </xf>
    <xf numFmtId="0" fontId="0" fillId="0" borderId="0" xfId="0" applyAlignment="1">
      <alignment horizontal="left" indent="1"/>
    </xf>
    <xf numFmtId="0" fontId="0" fillId="0" borderId="2" xfId="0" applyBorder="1" applyAlignment="1">
      <alignment horizontal="left" indent="1"/>
    </xf>
    <xf numFmtId="0" fontId="43" fillId="0" borderId="0" xfId="0" applyFont="1" applyFill="1" applyBorder="1" applyAlignment="1">
      <alignment horizontal="left"/>
    </xf>
    <xf numFmtId="0" fontId="24" fillId="0" borderId="2" xfId="0" applyFont="1" applyBorder="1" applyAlignment="1">
      <alignment horizontal="center"/>
    </xf>
    <xf numFmtId="0" fontId="0" fillId="0" borderId="24" xfId="0" applyFont="1" applyBorder="1" applyAlignment="1">
      <alignment vertical="center"/>
    </xf>
    <xf numFmtId="0" fontId="24" fillId="0" borderId="24" xfId="0" applyFont="1" applyBorder="1" applyAlignment="1">
      <alignment horizontal="center" vertical="center"/>
    </xf>
    <xf numFmtId="0" fontId="24" fillId="0" borderId="24" xfId="0" applyFont="1" applyBorder="1" applyAlignment="1">
      <alignment horizontal="center" vertical="center" wrapText="1"/>
    </xf>
    <xf numFmtId="0" fontId="38" fillId="0" borderId="0" xfId="0" applyFont="1" applyFill="1" applyBorder="1" applyAlignment="1">
      <alignment vertical="top"/>
    </xf>
    <xf numFmtId="0" fontId="43" fillId="0" borderId="0" xfId="74" applyFont="1" applyAlignment="1">
      <alignment wrapText="1"/>
    </xf>
    <xf numFmtId="0" fontId="1" fillId="0" borderId="0" xfId="0" applyFont="1" applyAlignment="1">
      <alignment vertical="center"/>
    </xf>
    <xf numFmtId="0" fontId="43" fillId="0" borderId="0" xfId="74" applyFont="1" applyBorder="1" applyAlignment="1">
      <alignment horizontal="center" wrapText="1"/>
    </xf>
    <xf numFmtId="0" fontId="43" fillId="0" borderId="0" xfId="74" applyFont="1" applyBorder="1" applyAlignment="1">
      <alignment wrapText="1"/>
    </xf>
    <xf numFmtId="0" fontId="1" fillId="0" borderId="36" xfId="0" applyFont="1" applyBorder="1" applyAlignment="1">
      <alignment vertical="center"/>
    </xf>
    <xf numFmtId="187" fontId="1" fillId="0" borderId="38" xfId="2" applyNumberFormat="1" applyFont="1" applyBorder="1" applyAlignment="1">
      <alignment wrapText="1"/>
    </xf>
    <xf numFmtId="0" fontId="1" fillId="0" borderId="46" xfId="0" applyFont="1" applyBorder="1" applyAlignment="1">
      <alignment vertical="center"/>
    </xf>
    <xf numFmtId="187" fontId="1" fillId="0" borderId="47" xfId="2" applyNumberFormat="1" applyFont="1" applyBorder="1" applyAlignment="1">
      <alignment wrapText="1"/>
    </xf>
    <xf numFmtId="0" fontId="39" fillId="0" borderId="46" xfId="0" applyFont="1" applyBorder="1" applyAlignment="1">
      <alignment vertical="center"/>
    </xf>
    <xf numFmtId="0" fontId="24" fillId="0" borderId="40" xfId="0" applyFont="1" applyBorder="1" applyAlignment="1">
      <alignment horizontal="right" vertical="center"/>
    </xf>
    <xf numFmtId="187" fontId="24" fillId="0" borderId="41" xfId="2" applyNumberFormat="1" applyFont="1" applyBorder="1" applyAlignment="1">
      <alignment wrapText="1"/>
    </xf>
    <xf numFmtId="0" fontId="43" fillId="0" borderId="0" xfId="74" applyFont="1" applyFill="1" applyBorder="1" applyAlignment="1">
      <alignment wrapText="1"/>
    </xf>
    <xf numFmtId="0" fontId="47" fillId="24" borderId="1" xfId="0" applyFont="1" applyFill="1" applyBorder="1" applyAlignment="1">
      <alignment horizontal="center" vertical="center"/>
    </xf>
    <xf numFmtId="0" fontId="63" fillId="32" borderId="1" xfId="0" applyFont="1" applyFill="1" applyBorder="1" applyAlignment="1">
      <alignment horizontal="center" vertical="center"/>
    </xf>
    <xf numFmtId="189" fontId="52" fillId="0" borderId="1" xfId="1" applyNumberFormat="1" applyFont="1" applyFill="1" applyBorder="1" applyAlignment="1">
      <alignment horizontal="center"/>
    </xf>
    <xf numFmtId="1" fontId="52" fillId="0" borderId="1" xfId="1" applyNumberFormat="1" applyFont="1" applyFill="1" applyBorder="1" applyAlignment="1">
      <alignment horizontal="center"/>
    </xf>
    <xf numFmtId="187" fontId="1" fillId="0" borderId="1" xfId="2" applyNumberFormat="1" applyFont="1" applyBorder="1" applyAlignment="1">
      <alignment horizontal="center" wrapText="1"/>
    </xf>
    <xf numFmtId="0" fontId="39" fillId="0" borderId="1" xfId="0" applyFont="1" applyBorder="1" applyAlignment="1">
      <alignment vertical="center"/>
    </xf>
    <xf numFmtId="17" fontId="1" fillId="0" borderId="1" xfId="0" applyNumberFormat="1" applyFont="1" applyBorder="1" applyAlignment="1">
      <alignment horizontal="center" vertical="center"/>
    </xf>
    <xf numFmtId="0" fontId="40" fillId="0" borderId="0" xfId="0" applyFont="1" applyFill="1" applyBorder="1" applyAlignment="1">
      <alignment vertical="top"/>
    </xf>
    <xf numFmtId="0" fontId="40" fillId="0" borderId="0" xfId="0" applyFont="1" applyFill="1" applyBorder="1" applyAlignment="1">
      <alignment horizontal="right" vertical="top"/>
    </xf>
    <xf numFmtId="170" fontId="1" fillId="19" borderId="0" xfId="2" applyNumberFormat="1" applyFont="1" applyFill="1" applyBorder="1" applyAlignment="1">
      <alignment horizontal="center" vertical="center"/>
    </xf>
    <xf numFmtId="0" fontId="60" fillId="0" borderId="0" xfId="0" applyFont="1" applyAlignment="1">
      <alignment horizontal="left" vertical="center"/>
    </xf>
    <xf numFmtId="0" fontId="60" fillId="0" borderId="0" xfId="0" applyFont="1" applyBorder="1" applyAlignment="1">
      <alignment horizontal="left" vertical="center"/>
    </xf>
    <xf numFmtId="0" fontId="50" fillId="0" borderId="0" xfId="0" applyFont="1" applyAlignment="1">
      <alignment horizontal="center" vertical="center"/>
    </xf>
    <xf numFmtId="2" fontId="52" fillId="0" borderId="1" xfId="0" applyNumberFormat="1" applyFont="1" applyFill="1" applyBorder="1" applyAlignment="1">
      <alignment horizontal="center" vertical="center"/>
    </xf>
    <xf numFmtId="7" fontId="43" fillId="0" borderId="1" xfId="0" applyNumberFormat="1" applyFont="1" applyBorder="1" applyAlignment="1">
      <alignment vertical="center"/>
    </xf>
    <xf numFmtId="0" fontId="45" fillId="0" borderId="27" xfId="0" applyFont="1" applyBorder="1" applyAlignment="1">
      <alignment horizontal="center" vertical="center"/>
    </xf>
    <xf numFmtId="0" fontId="45" fillId="0" borderId="0" xfId="0" applyFont="1" applyAlignment="1">
      <alignment vertical="center"/>
    </xf>
    <xf numFmtId="0" fontId="45" fillId="0" borderId="2" xfId="0" applyFont="1" applyBorder="1" applyAlignment="1">
      <alignment horizontal="center" vertical="center"/>
    </xf>
    <xf numFmtId="0" fontId="45" fillId="19" borderId="2" xfId="0" applyFont="1" applyFill="1" applyBorder="1" applyAlignment="1">
      <alignment horizontal="center" vertical="center" wrapText="1"/>
    </xf>
    <xf numFmtId="3" fontId="45" fillId="19" borderId="0" xfId="1" applyNumberFormat="1" applyFont="1" applyFill="1" applyBorder="1" applyAlignment="1">
      <alignment horizontal="center" vertical="center" wrapText="1"/>
    </xf>
    <xf numFmtId="187" fontId="43" fillId="0" borderId="0" xfId="2" applyNumberFormat="1" applyFont="1" applyAlignment="1">
      <alignment horizontal="center"/>
    </xf>
    <xf numFmtId="166" fontId="43" fillId="0" borderId="0" xfId="0" applyNumberFormat="1" applyFont="1" applyAlignment="1">
      <alignment horizontal="center"/>
    </xf>
    <xf numFmtId="187" fontId="43" fillId="0" borderId="0" xfId="0" applyNumberFormat="1" applyFont="1" applyAlignment="1">
      <alignment horizontal="center"/>
    </xf>
    <xf numFmtId="0" fontId="43" fillId="0" borderId="77" xfId="0" applyFont="1" applyBorder="1" applyAlignment="1">
      <alignment horizontal="center" vertical="center"/>
    </xf>
    <xf numFmtId="3" fontId="45" fillId="19" borderId="77" xfId="1" applyNumberFormat="1" applyFont="1" applyFill="1" applyBorder="1" applyAlignment="1">
      <alignment horizontal="center" vertical="center" wrapText="1"/>
    </xf>
    <xf numFmtId="187" fontId="43" fillId="0" borderId="77" xfId="2" applyNumberFormat="1" applyFont="1" applyBorder="1" applyAlignment="1">
      <alignment horizontal="center"/>
    </xf>
    <xf numFmtId="166" fontId="43" fillId="0" borderId="77" xfId="0" applyNumberFormat="1" applyFont="1" applyBorder="1" applyAlignment="1">
      <alignment horizontal="center"/>
    </xf>
    <xf numFmtId="187" fontId="43" fillId="0" borderId="77" xfId="0" applyNumberFormat="1" applyFont="1" applyBorder="1" applyAlignment="1">
      <alignment horizontal="center"/>
    </xf>
    <xf numFmtId="0" fontId="60" fillId="0" borderId="0" xfId="0" applyFont="1" applyAlignment="1">
      <alignment vertical="center"/>
    </xf>
    <xf numFmtId="0" fontId="40" fillId="24" borderId="1" xfId="0" applyFont="1" applyFill="1" applyBorder="1" applyAlignment="1">
      <alignment horizontal="center" vertical="center" wrapText="1"/>
    </xf>
    <xf numFmtId="0" fontId="40" fillId="0" borderId="1" xfId="0" quotePrefix="1" applyFont="1" applyFill="1" applyBorder="1" applyAlignment="1">
      <alignment vertical="center" wrapText="1"/>
    </xf>
    <xf numFmtId="0" fontId="43" fillId="0" borderId="0" xfId="0" applyFont="1" applyAlignment="1">
      <alignment horizontal="center" vertical="center" wrapText="1"/>
    </xf>
    <xf numFmtId="0" fontId="40" fillId="0" borderId="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3" fontId="43" fillId="0" borderId="0" xfId="1" applyNumberFormat="1" applyFont="1" applyBorder="1" applyAlignment="1">
      <alignment horizontal="center" vertical="center"/>
    </xf>
    <xf numFmtId="5" fontId="43" fillId="0" borderId="0" xfId="2" applyNumberFormat="1" applyFont="1" applyBorder="1" applyAlignment="1">
      <alignment horizontal="center" vertical="center"/>
    </xf>
    <xf numFmtId="0" fontId="0" fillId="0" borderId="77" xfId="0" applyFont="1" applyBorder="1" applyAlignment="1">
      <alignment horizontal="center" vertical="center" wrapText="1"/>
    </xf>
    <xf numFmtId="0" fontId="0" fillId="0" borderId="77" xfId="0" applyFont="1" applyBorder="1" applyAlignment="1">
      <alignment horizontal="center" vertical="center"/>
    </xf>
    <xf numFmtId="3" fontId="43" fillId="0" borderId="77" xfId="1" applyNumberFormat="1" applyFont="1" applyBorder="1" applyAlignment="1">
      <alignment horizontal="center" vertical="center"/>
    </xf>
    <xf numFmtId="5" fontId="43" fillId="0" borderId="77" xfId="2" applyNumberFormat="1" applyFont="1" applyBorder="1" applyAlignment="1">
      <alignment horizontal="center" vertical="center"/>
    </xf>
    <xf numFmtId="0" fontId="45" fillId="24" borderId="1" xfId="0" applyFont="1" applyFill="1" applyBorder="1" applyAlignment="1">
      <alignment horizontal="center" vertical="center"/>
    </xf>
    <xf numFmtId="0" fontId="43" fillId="0" borderId="0" xfId="0" applyFont="1" applyBorder="1" applyAlignment="1">
      <alignment horizontal="center" vertical="center"/>
    </xf>
    <xf numFmtId="0" fontId="40" fillId="0" borderId="24" xfId="0" applyFont="1" applyBorder="1" applyAlignment="1">
      <alignment horizontal="center" vertical="center" wrapText="1"/>
    </xf>
    <xf numFmtId="0" fontId="10" fillId="0" borderId="0" xfId="0" applyFont="1" applyAlignment="1">
      <alignment vertical="center"/>
    </xf>
    <xf numFmtId="170" fontId="43" fillId="0" borderId="0" xfId="2" applyNumberFormat="1" applyFont="1" applyBorder="1" applyAlignment="1">
      <alignment horizontal="center" vertical="center"/>
    </xf>
    <xf numFmtId="170" fontId="43" fillId="0" borderId="77" xfId="2" applyNumberFormat="1" applyFont="1" applyBorder="1" applyAlignment="1">
      <alignment horizontal="center" vertical="center"/>
    </xf>
    <xf numFmtId="166" fontId="43" fillId="0" borderId="0" xfId="1" applyNumberFormat="1" applyFont="1" applyAlignment="1">
      <alignment horizontal="center"/>
    </xf>
    <xf numFmtId="0" fontId="43" fillId="0" borderId="0" xfId="0" applyFont="1" applyAlignment="1">
      <alignment horizontal="center"/>
    </xf>
    <xf numFmtId="178" fontId="43" fillId="0" borderId="0" xfId="0" applyNumberFormat="1" applyFont="1" applyAlignment="1">
      <alignment horizontal="center"/>
    </xf>
    <xf numFmtId="2" fontId="0" fillId="0" borderId="0" xfId="0" applyNumberFormat="1" applyAlignment="1">
      <alignment horizontal="center"/>
    </xf>
    <xf numFmtId="0" fontId="5" fillId="0" borderId="24" xfId="0" applyFont="1" applyBorder="1" applyAlignment="1">
      <alignment vertical="top" wrapText="1"/>
    </xf>
    <xf numFmtId="166" fontId="43" fillId="0" borderId="0" xfId="1" applyNumberFormat="1" applyFont="1" applyAlignment="1"/>
    <xf numFmtId="44" fontId="9" fillId="2" borderId="0" xfId="2" applyFont="1" applyFill="1" applyBorder="1" applyAlignment="1">
      <alignment vertical="top"/>
    </xf>
    <xf numFmtId="0" fontId="33" fillId="2" borderId="14" xfId="5" applyFont="1" applyFill="1" applyBorder="1" applyAlignment="1">
      <alignment vertical="top" wrapText="1"/>
    </xf>
    <xf numFmtId="43" fontId="9" fillId="2" borderId="15" xfId="1" applyNumberFormat="1" applyFont="1" applyFill="1" applyBorder="1" applyAlignment="1">
      <alignment vertical="top"/>
    </xf>
    <xf numFmtId="1" fontId="9" fillId="2" borderId="15" xfId="0" applyNumberFormat="1" applyFont="1" applyFill="1" applyBorder="1" applyAlignment="1">
      <alignment vertical="top"/>
    </xf>
    <xf numFmtId="5" fontId="9" fillId="2" borderId="15" xfId="1" applyNumberFormat="1" applyFont="1" applyFill="1" applyBorder="1" applyAlignment="1">
      <alignment vertical="top"/>
    </xf>
    <xf numFmtId="0" fontId="14" fillId="2" borderId="15" xfId="5" applyFont="1" applyFill="1" applyBorder="1" applyAlignment="1">
      <alignment horizontal="center" vertical="top"/>
    </xf>
    <xf numFmtId="0" fontId="34" fillId="33" borderId="2" xfId="0" applyFont="1" applyFill="1" applyBorder="1" applyAlignment="1">
      <alignment horizontal="center" vertical="center" wrapText="1"/>
    </xf>
    <xf numFmtId="0" fontId="24" fillId="21" borderId="2" xfId="0" applyFont="1" applyFill="1" applyBorder="1" applyAlignment="1">
      <alignment horizontal="center" vertical="center" wrapText="1"/>
    </xf>
    <xf numFmtId="1" fontId="0" fillId="0" borderId="0" xfId="0" applyNumberFormat="1" applyFont="1" applyBorder="1" applyAlignment="1">
      <alignment horizontal="center" vertical="center"/>
    </xf>
    <xf numFmtId="1" fontId="0" fillId="0" borderId="77" xfId="0" applyNumberFormat="1" applyFont="1" applyBorder="1" applyAlignment="1">
      <alignment horizontal="center" vertical="center"/>
    </xf>
    <xf numFmtId="0" fontId="0" fillId="0" borderId="0" xfId="0" applyFont="1"/>
    <xf numFmtId="0" fontId="0" fillId="0" borderId="0" xfId="0" applyFont="1" applyBorder="1"/>
    <xf numFmtId="0" fontId="0" fillId="0" borderId="0" xfId="0" applyFont="1" applyAlignment="1">
      <alignment horizontal="right"/>
    </xf>
    <xf numFmtId="0" fontId="0" fillId="0" borderId="0" xfId="0" applyFont="1" applyBorder="1" applyAlignment="1">
      <alignment horizontal="center"/>
    </xf>
    <xf numFmtId="0" fontId="0" fillId="0" borderId="0" xfId="0" applyFont="1" applyBorder="1" applyAlignment="1">
      <alignment horizontal="right" vertical="center" wrapText="1"/>
    </xf>
    <xf numFmtId="0" fontId="0" fillId="0" borderId="0" xfId="0" applyFont="1" applyBorder="1" applyAlignment="1">
      <alignment horizontal="right"/>
    </xf>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0" xfId="0" applyFont="1" applyAlignment="1">
      <alignment wrapText="1"/>
    </xf>
    <xf numFmtId="2" fontId="0" fillId="0" borderId="0" xfId="0" applyNumberFormat="1" applyFont="1"/>
    <xf numFmtId="178" fontId="0" fillId="0" borderId="0" xfId="0" applyNumberFormat="1" applyFont="1"/>
    <xf numFmtId="170" fontId="57" fillId="26" borderId="44" xfId="1" applyNumberFormat="1" applyFont="1" applyFill="1" applyBorder="1" applyAlignment="1">
      <alignment horizontal="right" vertical="center" wrapText="1"/>
    </xf>
    <xf numFmtId="0" fontId="57" fillId="0" borderId="34" xfId="0" applyFont="1" applyBorder="1" applyAlignment="1">
      <alignment horizontal="center" vertical="center"/>
    </xf>
    <xf numFmtId="0" fontId="58" fillId="0" borderId="25" xfId="0" applyFont="1" applyFill="1" applyBorder="1" applyAlignment="1">
      <alignment horizontal="center" vertical="center" wrapText="1"/>
    </xf>
    <xf numFmtId="0" fontId="58" fillId="26" borderId="25" xfId="0" applyFont="1" applyFill="1" applyBorder="1" applyAlignment="1">
      <alignment horizontal="center" vertical="center" wrapText="1"/>
    </xf>
    <xf numFmtId="170" fontId="57" fillId="26" borderId="42" xfId="1" applyNumberFormat="1" applyFont="1" applyFill="1" applyBorder="1" applyAlignment="1">
      <alignment horizontal="right" vertical="center" wrapText="1"/>
    </xf>
    <xf numFmtId="0" fontId="57" fillId="0" borderId="69" xfId="0" applyFont="1" applyBorder="1" applyAlignment="1">
      <alignment horizontal="center" vertical="center"/>
    </xf>
    <xf numFmtId="0" fontId="58" fillId="2" borderId="37" xfId="0" applyFont="1" applyFill="1" applyBorder="1" applyAlignment="1">
      <alignment horizontal="center" vertical="center" wrapText="1"/>
    </xf>
    <xf numFmtId="9" fontId="57" fillId="0" borderId="37" xfId="8" applyFont="1" applyFill="1" applyBorder="1" applyAlignment="1">
      <alignment horizontal="center" vertical="center"/>
    </xf>
    <xf numFmtId="170" fontId="56" fillId="0" borderId="37" xfId="2" applyNumberFormat="1" applyFont="1" applyBorder="1" applyAlignment="1">
      <alignment horizontal="center" vertical="center"/>
    </xf>
    <xf numFmtId="170" fontId="57" fillId="2" borderId="43" xfId="0" applyNumberFormat="1" applyFont="1" applyFill="1" applyBorder="1" applyAlignment="1">
      <alignment horizontal="center" vertical="center"/>
    </xf>
    <xf numFmtId="188" fontId="9" fillId="0" borderId="0" xfId="2" applyNumberFormat="1" applyFont="1" applyBorder="1" applyAlignment="1">
      <alignment vertical="top"/>
    </xf>
    <xf numFmtId="0" fontId="8" fillId="11" borderId="7" xfId="0" applyFont="1" applyFill="1" applyBorder="1" applyAlignment="1">
      <alignment vertical="top"/>
    </xf>
    <xf numFmtId="0" fontId="9" fillId="11" borderId="8" xfId="0" applyFont="1" applyFill="1" applyBorder="1" applyAlignment="1">
      <alignment vertical="top"/>
    </xf>
    <xf numFmtId="0" fontId="9" fillId="11" borderId="9" xfId="0" applyFont="1" applyFill="1" applyBorder="1" applyAlignment="1">
      <alignment vertical="top"/>
    </xf>
    <xf numFmtId="0" fontId="43" fillId="0" borderId="0" xfId="0" applyFont="1" applyBorder="1" applyAlignment="1">
      <alignment horizontal="left" vertical="center" wrapText="1"/>
    </xf>
    <xf numFmtId="0" fontId="40" fillId="0" borderId="0" xfId="0" applyFont="1" applyBorder="1" applyAlignment="1">
      <alignment horizontal="center" vertical="center"/>
    </xf>
    <xf numFmtId="0" fontId="40" fillId="24" borderId="1"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2" xfId="0" applyFont="1" applyBorder="1" applyAlignment="1">
      <alignment horizontal="center"/>
    </xf>
    <xf numFmtId="0" fontId="40" fillId="0" borderId="0" xfId="0" applyFont="1" applyFill="1" applyBorder="1" applyAlignment="1">
      <alignment horizontal="center"/>
    </xf>
    <xf numFmtId="0" fontId="40" fillId="24" borderId="31" xfId="0" applyFont="1" applyFill="1" applyBorder="1" applyAlignment="1">
      <alignment horizontal="center" vertical="center"/>
    </xf>
    <xf numFmtId="0" fontId="40" fillId="24" borderId="33" xfId="0" applyFont="1" applyFill="1" applyBorder="1" applyAlignment="1">
      <alignment horizontal="center" vertical="center"/>
    </xf>
    <xf numFmtId="0" fontId="40" fillId="24" borderId="29" xfId="0" applyFont="1" applyFill="1" applyBorder="1" applyAlignment="1">
      <alignment horizontal="center" vertical="center"/>
    </xf>
    <xf numFmtId="0" fontId="40" fillId="24" borderId="1" xfId="0" applyFont="1" applyFill="1" applyBorder="1" applyAlignment="1">
      <alignment horizontal="center"/>
    </xf>
    <xf numFmtId="0" fontId="0" fillId="0" borderId="0" xfId="0" applyAlignment="1">
      <alignment horizontal="left" vertical="center" wrapText="1"/>
    </xf>
    <xf numFmtId="0" fontId="0" fillId="0" borderId="0" xfId="0"/>
    <xf numFmtId="0" fontId="24" fillId="0" borderId="0" xfId="0" applyFont="1" applyAlignment="1">
      <alignment horizontal="center"/>
    </xf>
    <xf numFmtId="0" fontId="56" fillId="0" borderId="28" xfId="0" applyFont="1" applyBorder="1" applyAlignment="1">
      <alignment vertical="center"/>
    </xf>
    <xf numFmtId="0" fontId="56" fillId="0" borderId="27" xfId="0" applyFont="1" applyBorder="1" applyAlignment="1">
      <alignment vertical="center"/>
    </xf>
    <xf numFmtId="0" fontId="56" fillId="0" borderId="26" xfId="0" applyFont="1" applyBorder="1" applyAlignment="1">
      <alignment vertical="center"/>
    </xf>
    <xf numFmtId="166" fontId="2" fillId="0" borderId="0" xfId="0" applyNumberFormat="1" applyFont="1" applyAlignment="1">
      <alignment horizontal="center"/>
    </xf>
    <xf numFmtId="166" fontId="43" fillId="0" borderId="0" xfId="1" applyNumberFormat="1" applyFont="1" applyBorder="1"/>
    <xf numFmtId="166" fontId="43" fillId="0" borderId="77" xfId="1" applyNumberFormat="1" applyFont="1" applyBorder="1"/>
    <xf numFmtId="187" fontId="43" fillId="0" borderId="0" xfId="2" applyNumberFormat="1" applyFont="1" applyBorder="1" applyAlignment="1">
      <alignment horizontal="center"/>
    </xf>
    <xf numFmtId="166" fontId="43" fillId="0" borderId="0" xfId="0" applyNumberFormat="1" applyFont="1" applyBorder="1" applyAlignment="1">
      <alignment horizontal="center"/>
    </xf>
    <xf numFmtId="187" fontId="43" fillId="0" borderId="0" xfId="0" applyNumberFormat="1" applyFont="1" applyBorder="1" applyAlignment="1">
      <alignment horizontal="center"/>
    </xf>
    <xf numFmtId="165" fontId="43" fillId="0" borderId="0" xfId="0" applyNumberFormat="1" applyFont="1" applyBorder="1" applyAlignment="1">
      <alignment horizontal="center" vertical="center"/>
    </xf>
    <xf numFmtId="5" fontId="43" fillId="0" borderId="0" xfId="0" applyNumberFormat="1" applyFont="1" applyBorder="1" applyAlignment="1">
      <alignment vertical="center"/>
    </xf>
    <xf numFmtId="0" fontId="33" fillId="2" borderId="18" xfId="5" applyFont="1" applyFill="1" applyBorder="1" applyAlignment="1">
      <alignment vertical="top" wrapText="1"/>
    </xf>
    <xf numFmtId="43" fontId="9" fillId="2" borderId="19" xfId="1" applyNumberFormat="1" applyFont="1" applyFill="1" applyBorder="1" applyAlignment="1">
      <alignment vertical="top"/>
    </xf>
    <xf numFmtId="1" fontId="9" fillId="2" borderId="19" xfId="0" applyNumberFormat="1" applyFont="1" applyFill="1" applyBorder="1" applyAlignment="1">
      <alignment vertical="top"/>
    </xf>
    <xf numFmtId="5" fontId="9" fillId="2" borderId="19" xfId="1" applyNumberFormat="1" applyFont="1" applyFill="1" applyBorder="1" applyAlignment="1">
      <alignment vertical="top"/>
    </xf>
    <xf numFmtId="0" fontId="14" fillId="2" borderId="19" xfId="5" applyFont="1" applyFill="1" applyBorder="1" applyAlignment="1">
      <alignment horizontal="center" vertical="top"/>
    </xf>
    <xf numFmtId="0" fontId="14" fillId="2" borderId="19" xfId="5" applyFont="1" applyFill="1" applyBorder="1" applyAlignment="1">
      <alignment vertical="top" wrapText="1"/>
    </xf>
    <xf numFmtId="0" fontId="9" fillId="2" borderId="20" xfId="0" applyFont="1" applyFill="1" applyBorder="1" applyAlignment="1">
      <alignment vertical="top" wrapText="1"/>
    </xf>
    <xf numFmtId="168" fontId="24" fillId="0" borderId="0" xfId="8" applyNumberFormat="1" applyFont="1" applyBorder="1" applyAlignment="1">
      <alignment vertical="center"/>
    </xf>
    <xf numFmtId="168" fontId="24" fillId="0" borderId="0" xfId="0" applyNumberFormat="1" applyFont="1" applyBorder="1" applyAlignment="1">
      <alignment vertical="center"/>
    </xf>
    <xf numFmtId="0" fontId="0" fillId="0" borderId="27" xfId="0" applyBorder="1"/>
    <xf numFmtId="9" fontId="0" fillId="0" borderId="27" xfId="8" applyFont="1" applyBorder="1" applyAlignment="1">
      <alignment horizontal="center"/>
    </xf>
    <xf numFmtId="9" fontId="0" fillId="0" borderId="2" xfId="8" applyFont="1" applyBorder="1" applyAlignment="1">
      <alignment horizontal="center"/>
    </xf>
    <xf numFmtId="0" fontId="44" fillId="0" borderId="0" xfId="0" quotePrefix="1" applyFont="1" applyFill="1" applyBorder="1"/>
    <xf numFmtId="0" fontId="60" fillId="0" borderId="0" xfId="0" applyFont="1"/>
    <xf numFmtId="0" fontId="64" fillId="0" borderId="0" xfId="0" applyFont="1"/>
    <xf numFmtId="0" fontId="40" fillId="0" borderId="2" xfId="0" applyFont="1" applyBorder="1" applyAlignment="1">
      <alignment horizontal="center"/>
    </xf>
    <xf numFmtId="0" fontId="40" fillId="0" borderId="24" xfId="0" applyFont="1" applyBorder="1"/>
    <xf numFmtId="166" fontId="40" fillId="0" borderId="24" xfId="1" applyNumberFormat="1" applyFont="1" applyBorder="1"/>
    <xf numFmtId="166" fontId="40" fillId="0" borderId="24" xfId="1" applyNumberFormat="1" applyFont="1" applyBorder="1" applyAlignment="1">
      <alignment horizontal="center"/>
    </xf>
    <xf numFmtId="0" fontId="40" fillId="0" borderId="24" xfId="0" applyFont="1" applyBorder="1" applyAlignment="1">
      <alignment horizontal="center"/>
    </xf>
    <xf numFmtId="0" fontId="43" fillId="0" borderId="27" xfId="0" applyFont="1" applyBorder="1"/>
    <xf numFmtId="0" fontId="40" fillId="33" borderId="2" xfId="0" applyFont="1" applyFill="1" applyBorder="1" applyAlignment="1">
      <alignment horizontal="center" vertical="center"/>
    </xf>
    <xf numFmtId="0" fontId="40" fillId="33" borderId="2" xfId="0" applyFont="1" applyFill="1" applyBorder="1" applyAlignment="1">
      <alignment horizontal="center" vertical="center" wrapText="1"/>
    </xf>
    <xf numFmtId="0" fontId="40" fillId="21" borderId="2" xfId="0" applyFont="1" applyFill="1" applyBorder="1" applyAlignment="1">
      <alignment horizontal="center" vertical="center"/>
    </xf>
    <xf numFmtId="0" fontId="40" fillId="21" borderId="2" xfId="0" applyFont="1" applyFill="1" applyBorder="1" applyAlignment="1">
      <alignment horizontal="center" vertical="center" wrapText="1"/>
    </xf>
    <xf numFmtId="166" fontId="0" fillId="0" borderId="0" xfId="0" applyNumberFormat="1" applyAlignment="1">
      <alignment vertical="center"/>
    </xf>
    <xf numFmtId="9" fontId="0" fillId="0" borderId="0" xfId="8" applyFont="1"/>
    <xf numFmtId="168" fontId="0" fillId="0" borderId="0" xfId="0" applyNumberFormat="1"/>
    <xf numFmtId="0" fontId="0" fillId="0" borderId="0" xfId="0" applyAlignment="1">
      <alignment horizontal="center"/>
    </xf>
    <xf numFmtId="0" fontId="23" fillId="35" borderId="2" xfId="0" applyFont="1" applyFill="1" applyBorder="1" applyAlignment="1">
      <alignment horizontal="center" wrapText="1"/>
    </xf>
    <xf numFmtId="9" fontId="24" fillId="0" borderId="0" xfId="8" applyFont="1" applyAlignment="1">
      <alignment horizontal="center"/>
    </xf>
    <xf numFmtId="0" fontId="14" fillId="0" borderId="0" xfId="0" applyFont="1" applyBorder="1" applyAlignment="1">
      <alignment horizontal="center"/>
    </xf>
    <xf numFmtId="167" fontId="0" fillId="0" borderId="0" xfId="0" applyNumberFormat="1" applyAlignment="1">
      <alignment horizontal="center"/>
    </xf>
    <xf numFmtId="166" fontId="0" fillId="36" borderId="0" xfId="0" applyNumberFormat="1" applyFill="1" applyAlignment="1">
      <alignment horizontal="center"/>
    </xf>
    <xf numFmtId="166" fontId="0" fillId="36" borderId="0" xfId="0" applyNumberFormat="1" applyFill="1"/>
    <xf numFmtId="166" fontId="0" fillId="36" borderId="0" xfId="0" applyNumberFormat="1" applyFill="1" applyAlignment="1">
      <alignment horizontal="center" vertical="center"/>
    </xf>
    <xf numFmtId="16" fontId="0" fillId="0" borderId="0" xfId="0" quotePrefix="1" applyNumberFormat="1" applyAlignment="1">
      <alignment horizontal="center" vertical="center"/>
    </xf>
    <xf numFmtId="3" fontId="0" fillId="0" borderId="0" xfId="0" applyNumberFormat="1" applyAlignment="1">
      <alignment vertical="center"/>
    </xf>
    <xf numFmtId="3" fontId="0" fillId="0" borderId="0" xfId="0" applyNumberFormat="1" applyAlignment="1">
      <alignment horizontal="center" vertical="center"/>
    </xf>
    <xf numFmtId="0" fontId="0" fillId="0" borderId="0" xfId="0" applyBorder="1" applyAlignment="1">
      <alignment horizontal="center" vertical="center"/>
    </xf>
    <xf numFmtId="0" fontId="0" fillId="0" borderId="77" xfId="0" applyBorder="1" applyAlignment="1">
      <alignment vertical="center"/>
    </xf>
    <xf numFmtId="2" fontId="0" fillId="0" borderId="77" xfId="0" applyNumberFormat="1"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xf>
    <xf numFmtId="3" fontId="0" fillId="0" borderId="2" xfId="0" applyNumberFormat="1" applyBorder="1" applyAlignment="1">
      <alignment horizontal="center" vertical="center"/>
    </xf>
    <xf numFmtId="0" fontId="24" fillId="0" borderId="2" xfId="0" applyFont="1" applyBorder="1" applyAlignment="1">
      <alignment vertical="center"/>
    </xf>
    <xf numFmtId="0" fontId="0" fillId="0" borderId="2" xfId="0" applyBorder="1" applyAlignment="1">
      <alignment vertical="center" wrapText="1"/>
    </xf>
    <xf numFmtId="3"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0" borderId="24" xfId="0" applyBorder="1" applyAlignment="1">
      <alignment vertical="center"/>
    </xf>
    <xf numFmtId="0" fontId="0" fillId="0" borderId="24" xfId="0" applyBorder="1" applyAlignment="1">
      <alignment horizontal="center" vertical="center"/>
    </xf>
    <xf numFmtId="0" fontId="0" fillId="0" borderId="24" xfId="0" applyBorder="1" applyAlignment="1">
      <alignment horizontal="center" vertical="center" wrapText="1"/>
    </xf>
    <xf numFmtId="0" fontId="0" fillId="0" borderId="77" xfId="0" applyBorder="1" applyAlignment="1">
      <alignment horizontal="center"/>
    </xf>
    <xf numFmtId="2" fontId="0" fillId="0" borderId="0" xfId="0" applyNumberFormat="1" applyFill="1" applyAlignment="1">
      <alignment horizontal="center"/>
    </xf>
    <xf numFmtId="2" fontId="0" fillId="0" borderId="77" xfId="0" applyNumberFormat="1" applyFill="1" applyBorder="1" applyAlignment="1">
      <alignment horizontal="center"/>
    </xf>
    <xf numFmtId="0" fontId="0" fillId="0" borderId="27" xfId="0" applyBorder="1" applyAlignment="1">
      <alignment vertical="center"/>
    </xf>
    <xf numFmtId="3" fontId="0" fillId="0" borderId="27" xfId="0" applyNumberFormat="1" applyBorder="1" applyAlignment="1">
      <alignment vertical="center"/>
    </xf>
    <xf numFmtId="3" fontId="0" fillId="0" borderId="2" xfId="0" applyNumberFormat="1" applyBorder="1" applyAlignment="1">
      <alignment vertical="center"/>
    </xf>
    <xf numFmtId="0" fontId="24" fillId="35" borderId="24" xfId="0" applyFont="1" applyFill="1" applyBorder="1" applyAlignment="1">
      <alignment vertical="center"/>
    </xf>
    <xf numFmtId="168" fontId="0" fillId="35" borderId="24" xfId="8" applyNumberFormat="1" applyFont="1" applyFill="1" applyBorder="1" applyAlignment="1">
      <alignment vertical="center"/>
    </xf>
    <xf numFmtId="167" fontId="0" fillId="0" borderId="0" xfId="1" applyNumberFormat="1" applyFont="1" applyFill="1"/>
    <xf numFmtId="167" fontId="0" fillId="0" borderId="0" xfId="0" applyNumberFormat="1" applyFill="1"/>
    <xf numFmtId="166" fontId="2" fillId="0" borderId="0" xfId="0" applyNumberFormat="1" applyFont="1" applyFill="1" applyAlignment="1">
      <alignment horizontal="center"/>
    </xf>
    <xf numFmtId="167" fontId="0" fillId="0" borderId="0" xfId="0" applyNumberFormat="1" applyFill="1" applyAlignment="1">
      <alignment horizontal="center"/>
    </xf>
    <xf numFmtId="0" fontId="24" fillId="0" borderId="2" xfId="0" applyFont="1" applyBorder="1"/>
    <xf numFmtId="0" fontId="24" fillId="0" borderId="2" xfId="0" applyFont="1" applyBorder="1" applyAlignment="1">
      <alignment horizontal="center" wrapText="1"/>
    </xf>
    <xf numFmtId="0" fontId="58" fillId="2" borderId="36" xfId="0" applyFont="1" applyFill="1" applyBorder="1" applyAlignment="1">
      <alignment horizontal="center" vertical="center" wrapText="1"/>
    </xf>
    <xf numFmtId="0" fontId="58" fillId="2" borderId="38" xfId="0" applyFont="1" applyFill="1" applyBorder="1" applyAlignment="1">
      <alignment horizontal="center" vertical="center" wrapText="1"/>
    </xf>
    <xf numFmtId="0" fontId="45" fillId="19" borderId="24" xfId="0" applyFont="1" applyFill="1" applyBorder="1" applyAlignment="1">
      <alignment horizontal="center" vertical="center" wrapText="1"/>
    </xf>
    <xf numFmtId="0" fontId="0" fillId="0" borderId="0" xfId="0"/>
    <xf numFmtId="0" fontId="57" fillId="0" borderId="62" xfId="0" applyFont="1" applyBorder="1" applyAlignment="1">
      <alignment horizontal="center" vertical="center" wrapText="1"/>
    </xf>
    <xf numFmtId="0" fontId="57" fillId="0" borderId="74" xfId="0" applyFont="1" applyBorder="1" applyAlignment="1">
      <alignment horizontal="center" vertical="center" wrapText="1"/>
    </xf>
    <xf numFmtId="0" fontId="57" fillId="0" borderId="46" xfId="0" applyFont="1" applyBorder="1" applyAlignment="1">
      <alignment horizontal="center" vertical="center" wrapText="1"/>
    </xf>
    <xf numFmtId="0" fontId="58" fillId="2" borderId="35" xfId="0" applyFont="1" applyFill="1" applyBorder="1" applyAlignment="1">
      <alignment horizontal="center" vertical="center" wrapText="1"/>
    </xf>
    <xf numFmtId="0" fontId="58" fillId="2" borderId="67" xfId="0" applyFont="1" applyFill="1" applyBorder="1" applyAlignment="1">
      <alignment horizontal="center" vertical="center" wrapText="1"/>
    </xf>
    <xf numFmtId="0" fontId="55" fillId="0" borderId="15" xfId="0" applyFont="1" applyBorder="1" applyAlignment="1">
      <alignment horizontal="center" vertical="center"/>
    </xf>
    <xf numFmtId="0" fontId="55" fillId="0" borderId="2" xfId="0" applyFont="1" applyBorder="1" applyAlignment="1">
      <alignment horizontal="center" vertical="center"/>
    </xf>
    <xf numFmtId="0" fontId="57" fillId="2" borderId="25" xfId="0" applyFont="1" applyFill="1" applyBorder="1" applyAlignment="1">
      <alignment horizontal="center" vertical="center"/>
    </xf>
    <xf numFmtId="0" fontId="57" fillId="2" borderId="24" xfId="0" applyFont="1" applyFill="1" applyBorder="1" applyAlignment="1">
      <alignment horizontal="center" vertical="center"/>
    </xf>
    <xf numFmtId="0" fontId="57" fillId="2" borderId="23" xfId="0" applyFont="1" applyFill="1" applyBorder="1" applyAlignment="1">
      <alignment horizontal="center" vertical="center"/>
    </xf>
    <xf numFmtId="0" fontId="51" fillId="28" borderId="63" xfId="0" applyFont="1" applyFill="1" applyBorder="1" applyAlignment="1">
      <alignment horizontal="center" vertical="center" wrapText="1"/>
    </xf>
    <xf numFmtId="0" fontId="51" fillId="28" borderId="75" xfId="0" applyFont="1" applyFill="1" applyBorder="1" applyAlignment="1">
      <alignment horizontal="center" vertical="center" wrapText="1"/>
    </xf>
    <xf numFmtId="0" fontId="51" fillId="28" borderId="47" xfId="0" applyFont="1" applyFill="1" applyBorder="1" applyAlignment="1">
      <alignment horizontal="center" vertical="center" wrapText="1"/>
    </xf>
    <xf numFmtId="0" fontId="57" fillId="0" borderId="63" xfId="0" applyFont="1" applyBorder="1" applyAlignment="1">
      <alignment horizontal="center" vertical="center" wrapText="1"/>
    </xf>
    <xf numFmtId="0" fontId="57" fillId="0" borderId="75" xfId="0" applyFont="1" applyBorder="1" applyAlignment="1">
      <alignment horizontal="center" vertical="center" wrapText="1"/>
    </xf>
    <xf numFmtId="0" fontId="57" fillId="0" borderId="47" xfId="0" applyFont="1" applyBorder="1" applyAlignment="1">
      <alignment horizontal="center" vertical="center" wrapText="1"/>
    </xf>
    <xf numFmtId="0" fontId="56" fillId="17" borderId="25" xfId="0" applyFont="1" applyFill="1" applyBorder="1" applyAlignment="1">
      <alignment horizontal="center" vertical="center"/>
    </xf>
    <xf numFmtId="0" fontId="56" fillId="17" borderId="23" xfId="0" applyFont="1" applyFill="1" applyBorder="1" applyAlignment="1">
      <alignment horizontal="center" vertical="center"/>
    </xf>
    <xf numFmtId="0" fontId="57" fillId="0" borderId="25" xfId="0" applyFont="1" applyBorder="1" applyAlignment="1">
      <alignment horizontal="center" vertical="center"/>
    </xf>
    <xf numFmtId="0" fontId="57" fillId="0" borderId="24" xfId="0" applyFont="1" applyBorder="1" applyAlignment="1">
      <alignment horizontal="center" vertical="center"/>
    </xf>
    <xf numFmtId="0" fontId="57" fillId="0" borderId="23" xfId="0" applyFont="1" applyBorder="1" applyAlignment="1">
      <alignment horizontal="center" vertical="center"/>
    </xf>
    <xf numFmtId="0" fontId="58" fillId="0" borderId="0" xfId="0" applyFont="1" applyFill="1" applyBorder="1" applyAlignment="1">
      <alignment horizontal="center" vertical="center" wrapText="1"/>
    </xf>
    <xf numFmtId="0" fontId="58" fillId="2" borderId="36" xfId="0" applyFont="1" applyFill="1" applyBorder="1" applyAlignment="1">
      <alignment horizontal="center" vertical="center" wrapText="1"/>
    </xf>
    <xf numFmtId="0" fontId="58" fillId="2" borderId="38" xfId="0" applyFont="1" applyFill="1" applyBorder="1" applyAlignment="1">
      <alignment horizontal="center" vertical="center" wrapText="1"/>
    </xf>
    <xf numFmtId="0" fontId="57" fillId="26" borderId="36" xfId="0" applyFont="1" applyFill="1" applyBorder="1" applyAlignment="1">
      <alignment horizontal="center" vertical="center" wrapText="1"/>
    </xf>
    <xf numFmtId="0" fontId="58" fillId="26" borderId="1" xfId="0" applyFont="1" applyFill="1" applyBorder="1" applyAlignment="1">
      <alignment horizontal="center" vertical="center" wrapText="1"/>
    </xf>
    <xf numFmtId="0" fontId="58" fillId="26" borderId="38" xfId="0" applyFont="1" applyFill="1" applyBorder="1" applyAlignment="1">
      <alignment horizontal="center" vertical="center" wrapText="1"/>
    </xf>
    <xf numFmtId="0" fontId="58" fillId="2" borderId="1" xfId="0" applyFont="1" applyFill="1" applyBorder="1" applyAlignment="1">
      <alignment horizontal="center" vertical="center" wrapText="1"/>
    </xf>
    <xf numFmtId="0" fontId="55" fillId="0" borderId="0" xfId="0" applyFont="1" applyBorder="1" applyAlignment="1">
      <alignment horizontal="center" vertical="center"/>
    </xf>
    <xf numFmtId="0" fontId="57" fillId="17" borderId="25" xfId="0" applyFont="1" applyFill="1" applyBorder="1" applyAlignment="1">
      <alignment horizontal="center" vertical="center"/>
    </xf>
    <xf numFmtId="0" fontId="57" fillId="17" borderId="24" xfId="0" applyFont="1" applyFill="1" applyBorder="1" applyAlignment="1">
      <alignment horizontal="center" vertical="center"/>
    </xf>
    <xf numFmtId="0" fontId="57" fillId="17" borderId="23" xfId="0" applyFont="1" applyFill="1" applyBorder="1" applyAlignment="1">
      <alignment horizontal="center" vertical="center"/>
    </xf>
    <xf numFmtId="0" fontId="63" fillId="32" borderId="1" xfId="0" applyFont="1" applyFill="1" applyBorder="1" applyAlignment="1">
      <alignment horizontal="center" vertical="center"/>
    </xf>
    <xf numFmtId="0" fontId="47" fillId="26" borderId="34" xfId="0" applyFont="1" applyFill="1" applyBorder="1" applyAlignment="1">
      <alignment horizontal="center" vertical="center"/>
    </xf>
    <xf numFmtId="0" fontId="47" fillId="26" borderId="71" xfId="0" applyFont="1" applyFill="1" applyBorder="1" applyAlignment="1">
      <alignment horizontal="center" vertical="center"/>
    </xf>
    <xf numFmtId="0" fontId="0" fillId="0" borderId="0" xfId="74" applyFont="1" applyBorder="1" applyAlignment="1">
      <alignment horizontal="left" vertical="top" wrapText="1"/>
    </xf>
    <xf numFmtId="0" fontId="1" fillId="0" borderId="0" xfId="74" applyFont="1" applyBorder="1" applyAlignment="1">
      <alignment horizontal="left" vertical="top" wrapText="1"/>
    </xf>
    <xf numFmtId="0" fontId="61" fillId="17" borderId="36" xfId="0" applyFont="1" applyFill="1" applyBorder="1" applyAlignment="1">
      <alignment horizontal="center" vertical="center" wrapText="1"/>
    </xf>
    <xf numFmtId="0" fontId="61" fillId="17" borderId="49" xfId="0" applyFont="1" applyFill="1" applyBorder="1" applyAlignment="1">
      <alignment horizontal="center" vertical="center" wrapText="1"/>
    </xf>
    <xf numFmtId="0" fontId="24" fillId="17" borderId="38" xfId="74" applyFont="1" applyFill="1" applyBorder="1" applyAlignment="1">
      <alignment horizontal="center" vertical="center" wrapText="1"/>
    </xf>
    <xf numFmtId="0" fontId="24" fillId="17" borderId="51" xfId="74" applyFont="1" applyFill="1" applyBorder="1" applyAlignment="1">
      <alignment horizontal="center" vertical="center" wrapText="1"/>
    </xf>
    <xf numFmtId="0" fontId="62" fillId="17" borderId="1" xfId="0" applyFont="1" applyFill="1" applyBorder="1" applyAlignment="1">
      <alignment horizontal="center" vertical="center" wrapText="1"/>
    </xf>
    <xf numFmtId="0" fontId="47" fillId="24" borderId="1" xfId="0" applyFont="1" applyFill="1" applyBorder="1" applyAlignment="1">
      <alignment horizontal="center" vertical="center"/>
    </xf>
    <xf numFmtId="0" fontId="24" fillId="0" borderId="25" xfId="0" applyFont="1" applyBorder="1" applyAlignment="1">
      <alignment horizontal="right" vertical="center"/>
    </xf>
    <xf numFmtId="0" fontId="24" fillId="0" borderId="24" xfId="0" applyFont="1" applyBorder="1" applyAlignment="1">
      <alignment horizontal="right" vertical="center"/>
    </xf>
    <xf numFmtId="0" fontId="24" fillId="0" borderId="23" xfId="0" applyFont="1" applyBorder="1" applyAlignment="1">
      <alignment horizontal="right" vertical="center"/>
    </xf>
    <xf numFmtId="0" fontId="43" fillId="0" borderId="0" xfId="0" applyFont="1" applyBorder="1" applyAlignment="1">
      <alignment horizontal="left" vertical="center" wrapText="1"/>
    </xf>
    <xf numFmtId="0" fontId="45" fillId="19" borderId="24" xfId="0" applyFont="1" applyFill="1" applyBorder="1" applyAlignment="1">
      <alignment horizontal="center" vertical="center" wrapText="1"/>
    </xf>
    <xf numFmtId="0" fontId="45" fillId="19" borderId="27" xfId="0" applyFont="1" applyFill="1" applyBorder="1" applyAlignment="1">
      <alignment horizontal="center" vertical="center" wrapText="1"/>
    </xf>
    <xf numFmtId="0" fontId="45" fillId="19" borderId="2" xfId="0" applyFont="1" applyFill="1" applyBorder="1" applyAlignment="1">
      <alignment horizontal="center" vertical="center" wrapText="1"/>
    </xf>
    <xf numFmtId="0" fontId="40" fillId="0" borderId="27" xfId="0" applyFont="1" applyBorder="1" applyAlignment="1">
      <alignment horizontal="center" vertical="center" wrapText="1"/>
    </xf>
    <xf numFmtId="0" fontId="40" fillId="0" borderId="2" xfId="0" applyFont="1" applyBorder="1" applyAlignment="1">
      <alignment horizontal="center" vertical="center" wrapText="1"/>
    </xf>
    <xf numFmtId="0" fontId="51" fillId="0" borderId="0" xfId="0" applyFont="1" applyFill="1" applyBorder="1" applyAlignment="1">
      <alignment horizontal="center" vertical="center" wrapText="1"/>
    </xf>
    <xf numFmtId="0" fontId="40" fillId="0" borderId="0" xfId="0" applyFont="1" applyBorder="1" applyAlignment="1">
      <alignment horizontal="center" vertical="center"/>
    </xf>
    <xf numFmtId="0" fontId="43" fillId="0" borderId="0" xfId="0" applyFont="1" applyBorder="1" applyAlignment="1">
      <alignment horizontal="left" vertical="center"/>
    </xf>
    <xf numFmtId="0" fontId="24" fillId="0" borderId="27" xfId="0" applyFont="1" applyBorder="1" applyAlignment="1">
      <alignment horizontal="center" vertical="center" wrapText="1"/>
    </xf>
    <xf numFmtId="0" fontId="24" fillId="0" borderId="2" xfId="0" applyFont="1" applyBorder="1" applyAlignment="1">
      <alignment horizontal="center" vertical="center" wrapText="1"/>
    </xf>
    <xf numFmtId="0" fontId="10" fillId="0" borderId="0" xfId="0" applyFont="1" applyAlignment="1">
      <alignment horizontal="left" vertical="center" wrapText="1"/>
    </xf>
    <xf numFmtId="0" fontId="51" fillId="0" borderId="3" xfId="0" applyFont="1" applyFill="1" applyBorder="1" applyAlignment="1">
      <alignment horizontal="center" vertical="center" wrapText="1"/>
    </xf>
    <xf numFmtId="0" fontId="40" fillId="24" borderId="1" xfId="0" applyFont="1" applyFill="1" applyBorder="1" applyAlignment="1">
      <alignment horizontal="center" vertical="center" wrapText="1"/>
    </xf>
    <xf numFmtId="0" fontId="43" fillId="0" borderId="1" xfId="0" applyFont="1" applyBorder="1" applyAlignment="1">
      <alignment horizontal="left" vertical="center" wrapText="1"/>
    </xf>
    <xf numFmtId="0" fontId="24" fillId="34" borderId="27" xfId="0" applyFont="1" applyFill="1" applyBorder="1" applyAlignment="1">
      <alignment horizontal="center" vertical="center" wrapText="1"/>
    </xf>
    <xf numFmtId="0" fontId="24" fillId="34" borderId="2" xfId="0" applyFont="1" applyFill="1" applyBorder="1" applyAlignment="1">
      <alignment horizontal="center" vertical="center" wrapText="1"/>
    </xf>
    <xf numFmtId="0" fontId="34" fillId="33" borderId="24" xfId="0" applyFont="1" applyFill="1" applyBorder="1" applyAlignment="1">
      <alignment horizontal="center" vertical="center" wrapText="1"/>
    </xf>
    <xf numFmtId="0" fontId="24" fillId="21" borderId="24" xfId="0" applyFont="1" applyFill="1" applyBorder="1" applyAlignment="1">
      <alignment horizontal="center" vertical="center" wrapText="1"/>
    </xf>
    <xf numFmtId="0" fontId="9" fillId="2" borderId="12" xfId="0" applyFont="1" applyFill="1" applyBorder="1" applyAlignment="1">
      <alignment horizontal="left" vertical="top" wrapText="1"/>
    </xf>
    <xf numFmtId="0" fontId="14" fillId="2" borderId="0" xfId="5"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12" xfId="0" applyFont="1" applyFill="1" applyBorder="1" applyAlignment="1">
      <alignment horizontal="left" vertical="top" wrapText="1"/>
    </xf>
    <xf numFmtId="0" fontId="20" fillId="6" borderId="0" xfId="0" applyFont="1" applyFill="1" applyBorder="1" applyAlignment="1">
      <alignment horizontal="left" vertical="top" wrapText="1"/>
    </xf>
    <xf numFmtId="0" fontId="20" fillId="6" borderId="0" xfId="0" applyFont="1" applyFill="1" applyBorder="1" applyAlignment="1">
      <alignment horizontal="center" vertical="center" wrapText="1"/>
    </xf>
    <xf numFmtId="0" fontId="14" fillId="2" borderId="12" xfId="5" applyFont="1" applyFill="1" applyBorder="1" applyAlignment="1">
      <alignment horizontal="left" vertical="top" wrapText="1"/>
    </xf>
    <xf numFmtId="0" fontId="9" fillId="2" borderId="0" xfId="0" applyFont="1" applyFill="1" applyBorder="1" applyAlignment="1">
      <alignment horizontal="left" vertical="top" wrapText="1"/>
    </xf>
    <xf numFmtId="0" fontId="14" fillId="2" borderId="12" xfId="0" applyFont="1" applyFill="1" applyBorder="1" applyAlignment="1">
      <alignment horizontal="center" vertical="center" wrapText="1"/>
    </xf>
    <xf numFmtId="0" fontId="14" fillId="2" borderId="0" xfId="5" applyFont="1" applyFill="1" applyBorder="1" applyAlignment="1">
      <alignment horizontal="center" vertical="center" wrapText="1"/>
    </xf>
    <xf numFmtId="0" fontId="0" fillId="0" borderId="11" xfId="0" applyFont="1" applyBorder="1" applyAlignment="1">
      <alignment horizontal="left" vertical="center" wrapText="1"/>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23" fillId="18" borderId="25" xfId="0" applyFont="1" applyFill="1" applyBorder="1" applyAlignment="1">
      <alignment horizontal="center" vertical="center" wrapText="1"/>
    </xf>
    <xf numFmtId="0" fontId="23" fillId="18" borderId="23" xfId="0" applyFont="1" applyFill="1" applyBorder="1" applyAlignment="1">
      <alignment horizontal="center" vertical="center" wrapText="1"/>
    </xf>
    <xf numFmtId="0" fontId="37" fillId="0" borderId="0" xfId="0" applyFont="1" applyAlignment="1">
      <alignment horizontal="left" vertical="center" wrapText="1"/>
    </xf>
    <xf numFmtId="0" fontId="38" fillId="0" borderId="2" xfId="0" applyFont="1" applyBorder="1" applyAlignment="1">
      <alignment horizontal="center" vertical="center" wrapText="1"/>
    </xf>
    <xf numFmtId="0" fontId="38" fillId="22" borderId="34" xfId="0" applyFont="1" applyFill="1" applyBorder="1" applyAlignment="1">
      <alignment horizontal="center" vertical="center" wrapText="1"/>
    </xf>
    <xf numFmtId="0" fontId="38" fillId="22" borderId="58" xfId="0" applyFont="1" applyFill="1" applyBorder="1" applyAlignment="1">
      <alignment horizontal="center" vertical="center" wrapText="1"/>
    </xf>
    <xf numFmtId="0" fontId="38" fillId="22" borderId="59" xfId="0" applyFont="1" applyFill="1" applyBorder="1" applyAlignment="1">
      <alignment horizontal="center" vertical="center" wrapText="1"/>
    </xf>
    <xf numFmtId="0" fontId="34" fillId="22" borderId="1" xfId="0" applyFont="1" applyFill="1" applyBorder="1" applyAlignment="1">
      <alignment horizontal="center" vertical="center"/>
    </xf>
    <xf numFmtId="0" fontId="24" fillId="20" borderId="24" xfId="0" applyFont="1" applyFill="1" applyBorder="1" applyAlignment="1">
      <alignment horizontal="center" vertical="center"/>
    </xf>
    <xf numFmtId="0" fontId="0" fillId="0" borderId="0" xfId="0" applyFont="1" applyAlignment="1">
      <alignment horizontal="left" vertical="center" wrapText="1"/>
    </xf>
    <xf numFmtId="0" fontId="24" fillId="2" borderId="24" xfId="0" applyFont="1" applyFill="1" applyBorder="1" applyAlignment="1">
      <alignment horizontal="center" vertical="center"/>
    </xf>
    <xf numFmtId="0" fontId="38" fillId="22" borderId="31" xfId="0" applyFont="1" applyFill="1" applyBorder="1" applyAlignment="1">
      <alignment horizontal="center" vertical="center"/>
    </xf>
    <xf numFmtId="0" fontId="38" fillId="22" borderId="33" xfId="0" applyFont="1" applyFill="1" applyBorder="1" applyAlignment="1">
      <alignment horizontal="center" vertical="center"/>
    </xf>
    <xf numFmtId="0" fontId="24" fillId="0" borderId="27"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7" xfId="0" applyFont="1" applyBorder="1" applyAlignment="1">
      <alignment horizontal="left" vertical="center"/>
    </xf>
    <xf numFmtId="0" fontId="24" fillId="0" borderId="18"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20" xfId="0" applyFont="1" applyFill="1" applyBorder="1" applyAlignment="1">
      <alignment horizontal="center" vertical="center"/>
    </xf>
    <xf numFmtId="0" fontId="0" fillId="0" borderId="0" xfId="0" applyFill="1" applyBorder="1" applyAlignment="1">
      <alignment horizontal="left" vertical="center" wrapText="1"/>
    </xf>
    <xf numFmtId="0" fontId="24" fillId="0" borderId="10" xfId="0" applyFont="1" applyFill="1" applyBorder="1" applyAlignment="1">
      <alignment horizontal="center" vertical="center" wrapText="1"/>
    </xf>
    <xf numFmtId="0" fontId="24" fillId="0" borderId="76" xfId="0" applyFont="1" applyFill="1" applyBorder="1" applyAlignment="1">
      <alignment horizontal="center" vertical="center" wrapText="1"/>
    </xf>
    <xf numFmtId="0" fontId="24" fillId="0" borderId="2" xfId="0" applyFont="1" applyBorder="1" applyAlignment="1">
      <alignment horizontal="center"/>
    </xf>
    <xf numFmtId="0" fontId="0" fillId="0" borderId="0" xfId="0" applyAlignment="1">
      <alignment horizontal="left" vertical="center"/>
    </xf>
    <xf numFmtId="0" fontId="0" fillId="0" borderId="0" xfId="0" applyAlignment="1">
      <alignment horizontal="left" vertical="center" wrapText="1"/>
    </xf>
    <xf numFmtId="0" fontId="24" fillId="0" borderId="15" xfId="0" applyFont="1" applyBorder="1" applyAlignment="1">
      <alignment vertical="center" wrapText="1"/>
    </xf>
    <xf numFmtId="0" fontId="24" fillId="0" borderId="0" xfId="0" applyFont="1" applyBorder="1" applyAlignment="1">
      <alignment horizontal="left" vertical="center" wrapText="1"/>
    </xf>
    <xf numFmtId="0" fontId="0" fillId="0" borderId="0" xfId="0" applyBorder="1" applyAlignment="1">
      <alignment horizontal="left" vertical="center" wrapText="1"/>
    </xf>
    <xf numFmtId="0" fontId="5" fillId="0" borderId="27" xfId="0" applyFont="1" applyBorder="1" applyAlignment="1">
      <alignment horizontal="left" vertical="top" wrapText="1"/>
    </xf>
    <xf numFmtId="0" fontId="9" fillId="0" borderId="2" xfId="0" applyFont="1" applyBorder="1" applyAlignment="1">
      <alignment horizontal="center" vertical="center"/>
    </xf>
    <xf numFmtId="0" fontId="5" fillId="0" borderId="0" xfId="0" applyFont="1" applyBorder="1" applyAlignment="1">
      <alignment horizontal="left" vertical="top" wrapText="1"/>
    </xf>
    <xf numFmtId="0" fontId="24" fillId="24" borderId="1" xfId="0" applyFont="1" applyFill="1" applyBorder="1" applyAlignment="1">
      <alignment horizontal="center" vertical="center" wrapText="1"/>
    </xf>
    <xf numFmtId="0" fontId="24" fillId="24" borderId="50" xfId="0" applyFont="1" applyFill="1" applyBorder="1" applyAlignment="1">
      <alignment horizontal="center" vertical="center" wrapText="1"/>
    </xf>
    <xf numFmtId="0" fontId="24" fillId="24" borderId="1" xfId="0" applyFont="1" applyFill="1" applyBorder="1" applyAlignment="1">
      <alignment horizontal="center" vertical="center"/>
    </xf>
    <xf numFmtId="0" fontId="40" fillId="0" borderId="0" xfId="0" applyFont="1" applyFill="1" applyBorder="1" applyAlignment="1">
      <alignment horizontal="center"/>
    </xf>
    <xf numFmtId="0" fontId="40" fillId="24" borderId="28" xfId="0" applyFont="1" applyFill="1" applyBorder="1" applyAlignment="1">
      <alignment horizontal="center" vertical="center"/>
    </xf>
    <xf numFmtId="0" fontId="40" fillId="24" borderId="3" xfId="0" applyFont="1" applyFill="1" applyBorder="1" applyAlignment="1">
      <alignment horizontal="center" vertical="center"/>
    </xf>
    <xf numFmtId="0" fontId="40" fillId="24" borderId="5" xfId="0" applyFont="1" applyFill="1" applyBorder="1" applyAlignment="1">
      <alignment horizontal="center" vertical="center"/>
    </xf>
    <xf numFmtId="0" fontId="40" fillId="24" borderId="31" xfId="0" applyFont="1" applyFill="1" applyBorder="1" applyAlignment="1">
      <alignment horizontal="center" vertical="center"/>
    </xf>
    <xf numFmtId="0" fontId="40" fillId="24" borderId="33" xfId="0" applyFont="1" applyFill="1" applyBorder="1" applyAlignment="1">
      <alignment horizontal="center" vertical="center"/>
    </xf>
    <xf numFmtId="0" fontId="40" fillId="24" borderId="29" xfId="0" applyFont="1" applyFill="1" applyBorder="1" applyAlignment="1">
      <alignment horizontal="center" vertical="center"/>
    </xf>
    <xf numFmtId="0" fontId="43" fillId="0" borderId="27" xfId="0" applyFont="1" applyBorder="1" applyAlignment="1">
      <alignment horizontal="left" vertical="center" wrapText="1"/>
    </xf>
    <xf numFmtId="0" fontId="45" fillId="24" borderId="25" xfId="0" applyFont="1" applyFill="1" applyBorder="1" applyAlignment="1">
      <alignment horizontal="center" vertical="center" wrapText="1"/>
    </xf>
    <xf numFmtId="0" fontId="40" fillId="24" borderId="26" xfId="0" applyFont="1" applyFill="1" applyBorder="1" applyAlignment="1">
      <alignment horizontal="center" vertical="center" wrapText="1"/>
    </xf>
    <xf numFmtId="0" fontId="40" fillId="24" borderId="6" xfId="0" applyFont="1" applyFill="1" applyBorder="1" applyAlignment="1">
      <alignment horizontal="center" vertical="center" wrapText="1"/>
    </xf>
    <xf numFmtId="0" fontId="40" fillId="24" borderId="28" xfId="0" applyFont="1" applyFill="1" applyBorder="1" applyAlignment="1">
      <alignment horizontal="center" vertical="center" wrapText="1"/>
    </xf>
    <xf numFmtId="0" fontId="40" fillId="24" borderId="5" xfId="0" applyFont="1" applyFill="1" applyBorder="1" applyAlignment="1">
      <alignment horizontal="center" vertical="center" wrapText="1"/>
    </xf>
    <xf numFmtId="0" fontId="40" fillId="24" borderId="1" xfId="0" applyFont="1" applyFill="1" applyBorder="1" applyAlignment="1">
      <alignment horizontal="center"/>
    </xf>
    <xf numFmtId="0" fontId="0" fillId="33" borderId="0" xfId="0" applyFont="1" applyFill="1" applyAlignment="1">
      <alignment horizontal="center"/>
    </xf>
    <xf numFmtId="0" fontId="0" fillId="33" borderId="0" xfId="0" applyFont="1" applyFill="1" applyBorder="1" applyAlignment="1">
      <alignment horizontal="center"/>
    </xf>
    <xf numFmtId="0" fontId="26" fillId="0" borderId="0" xfId="0" applyFont="1" applyFill="1" applyAlignment="1">
      <alignment horizontal="left" vertical="top" wrapText="1"/>
    </xf>
    <xf numFmtId="0" fontId="0" fillId="0" borderId="0" xfId="0"/>
    <xf numFmtId="0" fontId="26" fillId="0" borderId="0" xfId="0" applyFont="1" applyFill="1" applyAlignment="1">
      <alignment horizontal="left"/>
    </xf>
    <xf numFmtId="0" fontId="25" fillId="0" borderId="0" xfId="0" applyFont="1" applyFill="1" applyAlignment="1">
      <alignment horizontal="left"/>
    </xf>
    <xf numFmtId="0" fontId="16" fillId="0" borderId="0" xfId="0" applyFont="1" applyFill="1" applyAlignment="1">
      <alignment horizontal="left" vertical="top" wrapText="1"/>
    </xf>
    <xf numFmtId="0" fontId="40" fillId="21" borderId="27" xfId="0" applyFont="1" applyFill="1" applyBorder="1" applyAlignment="1">
      <alignment horizontal="center" vertical="center"/>
    </xf>
    <xf numFmtId="0" fontId="40" fillId="33" borderId="27" xfId="0" applyFont="1" applyFill="1" applyBorder="1" applyAlignment="1">
      <alignment horizontal="center" vertical="center"/>
    </xf>
    <xf numFmtId="0" fontId="40" fillId="21" borderId="2" xfId="0" applyFont="1" applyFill="1" applyBorder="1" applyAlignment="1">
      <alignment horizontal="center" vertical="center"/>
    </xf>
    <xf numFmtId="0" fontId="14" fillId="0" borderId="0" xfId="0" applyFont="1" applyBorder="1" applyAlignment="1">
      <alignment horizontal="center" vertical="center"/>
    </xf>
    <xf numFmtId="0" fontId="24" fillId="0" borderId="0" xfId="0" applyFont="1" applyAlignment="1">
      <alignment horizontal="center"/>
    </xf>
    <xf numFmtId="0" fontId="14" fillId="0" borderId="0" xfId="0" applyFont="1" applyFill="1" applyBorder="1" applyAlignment="1">
      <alignment horizontal="center" vertical="center"/>
    </xf>
    <xf numFmtId="0" fontId="49" fillId="0" borderId="7"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9" xfId="0" applyFont="1" applyBorder="1" applyAlignment="1">
      <alignment horizontal="center" vertical="center" wrapText="1"/>
    </xf>
    <xf numFmtId="0" fontId="51" fillId="28" borderId="1" xfId="0" applyFont="1" applyFill="1" applyBorder="1" applyAlignment="1">
      <alignment horizontal="center" vertical="center" wrapText="1"/>
    </xf>
    <xf numFmtId="0" fontId="49" fillId="0" borderId="11" xfId="0" applyFont="1" applyBorder="1" applyAlignment="1">
      <alignment horizontal="center" vertical="center"/>
    </xf>
    <xf numFmtId="0" fontId="49" fillId="0" borderId="0" xfId="0" applyFont="1" applyBorder="1" applyAlignment="1">
      <alignment horizontal="center" vertical="center"/>
    </xf>
    <xf numFmtId="0" fontId="49" fillId="0" borderId="12" xfId="0" applyFont="1" applyBorder="1" applyAlignment="1">
      <alignment horizontal="center" vertical="center"/>
    </xf>
    <xf numFmtId="0" fontId="51" fillId="28" borderId="25" xfId="0" applyFont="1" applyFill="1" applyBorder="1" applyAlignment="1">
      <alignment horizontal="center" vertical="center" wrapText="1"/>
    </xf>
    <xf numFmtId="0" fontId="51" fillId="28" borderId="24" xfId="0" applyFont="1" applyFill="1" applyBorder="1" applyAlignment="1">
      <alignment horizontal="center" vertical="center" wrapText="1"/>
    </xf>
    <xf numFmtId="0" fontId="51" fillId="28" borderId="23" xfId="0" applyFont="1" applyFill="1" applyBorder="1" applyAlignment="1">
      <alignment horizontal="center" vertical="center" wrapText="1"/>
    </xf>
    <xf numFmtId="170" fontId="56" fillId="0" borderId="38" xfId="2" applyNumberFormat="1" applyFont="1" applyBorder="1" applyAlignment="1">
      <alignment horizontal="center" vertical="center" wrapText="1"/>
    </xf>
    <xf numFmtId="170" fontId="56" fillId="0" borderId="1" xfId="1" applyNumberFormat="1" applyFont="1" applyBorder="1" applyAlignment="1">
      <alignment horizontal="right" vertical="center" wrapText="1"/>
    </xf>
    <xf numFmtId="0" fontId="58" fillId="26" borderId="62" xfId="0" applyFont="1" applyFill="1" applyBorder="1" applyAlignment="1">
      <alignment horizontal="center" vertical="center" wrapText="1"/>
    </xf>
    <xf numFmtId="0" fontId="58" fillId="26" borderId="46" xfId="0" applyFont="1" applyFill="1" applyBorder="1" applyAlignment="1">
      <alignment horizontal="center" vertical="center" wrapText="1"/>
    </xf>
    <xf numFmtId="0" fontId="58" fillId="26" borderId="63" xfId="0" applyFont="1" applyFill="1" applyBorder="1" applyAlignment="1">
      <alignment horizontal="center" vertical="center" wrapText="1"/>
    </xf>
    <xf numFmtId="0" fontId="58" fillId="26" borderId="47" xfId="0" applyFont="1" applyFill="1" applyBorder="1" applyAlignment="1">
      <alignment horizontal="center" vertical="center" wrapText="1"/>
    </xf>
    <xf numFmtId="0" fontId="58" fillId="28" borderId="35" xfId="0" applyFont="1" applyFill="1" applyBorder="1" applyAlignment="1">
      <alignment horizontal="center" vertical="center" wrapText="1"/>
    </xf>
    <xf numFmtId="0" fontId="58" fillId="26" borderId="78" xfId="0" applyFont="1" applyFill="1" applyBorder="1" applyAlignment="1">
      <alignment horizontal="center" vertical="center" wrapText="1"/>
    </xf>
    <xf numFmtId="0" fontId="58" fillId="26" borderId="53" xfId="0" applyFont="1" applyFill="1" applyBorder="1" applyAlignment="1">
      <alignment horizontal="center" vertical="center" wrapText="1"/>
    </xf>
    <xf numFmtId="0" fontId="58" fillId="28" borderId="24" xfId="0" applyFont="1" applyFill="1" applyBorder="1" applyAlignment="1">
      <alignment horizontal="center" vertical="center" wrapText="1"/>
    </xf>
    <xf numFmtId="0" fontId="58" fillId="28" borderId="67" xfId="0" applyFont="1" applyFill="1" applyBorder="1" applyAlignment="1">
      <alignment horizontal="center" vertical="center" wrapText="1"/>
    </xf>
    <xf numFmtId="0" fontId="58" fillId="28" borderId="20" xfId="0" applyFont="1" applyFill="1" applyBorder="1" applyAlignment="1">
      <alignment horizontal="center" vertical="center" wrapText="1"/>
    </xf>
    <xf numFmtId="0" fontId="58" fillId="28" borderId="19" xfId="0" applyFont="1" applyFill="1" applyBorder="1" applyAlignment="1">
      <alignment horizontal="center" vertical="center" wrapText="1"/>
    </xf>
    <xf numFmtId="0" fontId="58" fillId="37" borderId="21" xfId="0" applyFont="1" applyFill="1" applyBorder="1" applyAlignment="1">
      <alignment horizontal="center" vertical="center" wrapText="1"/>
    </xf>
    <xf numFmtId="170" fontId="56" fillId="0" borderId="25" xfId="1" applyNumberFormat="1" applyFont="1" applyBorder="1" applyAlignment="1">
      <alignment horizontal="center" vertical="center" wrapText="1"/>
    </xf>
    <xf numFmtId="0" fontId="58" fillId="0" borderId="17" xfId="0" applyFont="1" applyBorder="1" applyAlignment="1">
      <alignment horizontal="center" vertical="center" wrapText="1"/>
    </xf>
    <xf numFmtId="0" fontId="58" fillId="0" borderId="16" xfId="0" applyFont="1" applyBorder="1" applyAlignment="1">
      <alignment horizontal="center" vertical="center" wrapText="1"/>
    </xf>
    <xf numFmtId="170" fontId="9" fillId="9" borderId="0" xfId="2" applyNumberFormat="1" applyFont="1" applyFill="1" applyBorder="1" applyAlignment="1">
      <alignment vertical="top"/>
    </xf>
    <xf numFmtId="170" fontId="9" fillId="9" borderId="12" xfId="2" applyNumberFormat="1" applyFont="1" applyFill="1" applyBorder="1" applyAlignment="1">
      <alignment vertical="top"/>
    </xf>
    <xf numFmtId="170" fontId="9" fillId="9" borderId="15" xfId="2" applyNumberFormat="1" applyFont="1" applyFill="1" applyBorder="1" applyAlignment="1">
      <alignment vertical="top"/>
    </xf>
    <xf numFmtId="170" fontId="9" fillId="9" borderId="16" xfId="2" applyNumberFormat="1" applyFont="1" applyFill="1" applyBorder="1" applyAlignment="1">
      <alignment vertical="top"/>
    </xf>
    <xf numFmtId="0" fontId="60" fillId="19" borderId="0" xfId="0" applyFont="1" applyFill="1" applyAlignment="1">
      <alignment horizontal="left" vertical="center"/>
    </xf>
    <xf numFmtId="0" fontId="43" fillId="19" borderId="0" xfId="0" applyFont="1" applyFill="1" applyAlignment="1">
      <alignment vertical="center"/>
    </xf>
    <xf numFmtId="0" fontId="43" fillId="19" borderId="0" xfId="0" applyFont="1" applyFill="1" applyAlignment="1">
      <alignment horizontal="center" vertical="center"/>
    </xf>
    <xf numFmtId="0" fontId="45" fillId="19" borderId="0" xfId="0" applyFont="1" applyFill="1" applyAlignment="1">
      <alignment vertical="center"/>
    </xf>
    <xf numFmtId="44" fontId="43" fillId="19" borderId="0" xfId="2" applyFont="1" applyFill="1" applyBorder="1" applyAlignment="1">
      <alignment horizontal="center"/>
    </xf>
    <xf numFmtId="0" fontId="43" fillId="19" borderId="77" xfId="0" applyFont="1" applyFill="1" applyBorder="1" applyAlignment="1">
      <alignment horizontal="center" vertical="center"/>
    </xf>
    <xf numFmtId="44" fontId="43" fillId="19" borderId="77" xfId="2" applyFont="1" applyFill="1" applyBorder="1" applyAlignment="1">
      <alignment horizontal="center"/>
    </xf>
    <xf numFmtId="0" fontId="43" fillId="19" borderId="0" xfId="0" applyFont="1" applyFill="1" applyBorder="1" applyAlignment="1">
      <alignment vertical="center"/>
    </xf>
    <xf numFmtId="0" fontId="60" fillId="19" borderId="0" xfId="0" applyFont="1" applyFill="1" applyAlignment="1">
      <alignment vertical="center"/>
    </xf>
    <xf numFmtId="0" fontId="43" fillId="19" borderId="0" xfId="0" applyFont="1" applyFill="1" applyAlignment="1">
      <alignment vertical="center" wrapText="1"/>
    </xf>
    <xf numFmtId="0" fontId="40" fillId="19" borderId="0" xfId="0" applyFont="1" applyFill="1" applyBorder="1" applyAlignment="1">
      <alignment horizontal="center" vertical="center"/>
    </xf>
    <xf numFmtId="0" fontId="43" fillId="19" borderId="0" xfId="0" applyFont="1" applyFill="1" applyBorder="1" applyAlignment="1">
      <alignment vertical="center" wrapText="1"/>
    </xf>
    <xf numFmtId="0" fontId="24" fillId="19" borderId="27" xfId="0" applyFont="1" applyFill="1" applyBorder="1" applyAlignment="1">
      <alignment horizontal="center" vertical="center" wrapText="1"/>
    </xf>
    <xf numFmtId="0" fontId="40" fillId="19" borderId="24" xfId="0" applyFont="1" applyFill="1" applyBorder="1" applyAlignment="1">
      <alignment horizontal="center" vertical="center"/>
    </xf>
    <xf numFmtId="0" fontId="40" fillId="19" borderId="27" xfId="0" applyFont="1" applyFill="1" applyBorder="1" applyAlignment="1">
      <alignment horizontal="center" vertical="center" wrapText="1"/>
    </xf>
    <xf numFmtId="0" fontId="24" fillId="19" borderId="2" xfId="0" applyFont="1" applyFill="1" applyBorder="1" applyAlignment="1">
      <alignment horizontal="center" vertical="center" wrapText="1"/>
    </xf>
    <xf numFmtId="0" fontId="40" fillId="19" borderId="24" xfId="0" applyFont="1" applyFill="1" applyBorder="1" applyAlignment="1">
      <alignment horizontal="center" vertical="center"/>
    </xf>
    <xf numFmtId="0" fontId="40" fillId="19" borderId="24" xfId="0" applyFont="1" applyFill="1" applyBorder="1" applyAlignment="1">
      <alignment horizontal="center" vertical="center" wrapText="1"/>
    </xf>
    <xf numFmtId="0" fontId="40" fillId="19" borderId="2" xfId="0" applyFont="1" applyFill="1" applyBorder="1" applyAlignment="1">
      <alignment horizontal="center" vertical="center" wrapText="1"/>
    </xf>
    <xf numFmtId="0" fontId="0" fillId="19" borderId="0" xfId="0" applyFont="1" applyFill="1" applyBorder="1" applyAlignment="1">
      <alignment horizontal="center" vertical="center" wrapText="1"/>
    </xf>
    <xf numFmtId="0" fontId="0" fillId="19" borderId="0" xfId="0" applyFont="1" applyFill="1" applyBorder="1" applyAlignment="1">
      <alignment horizontal="center" vertical="center"/>
    </xf>
    <xf numFmtId="187" fontId="43" fillId="19" borderId="0" xfId="2" applyNumberFormat="1" applyFont="1" applyFill="1" applyBorder="1" applyAlignment="1">
      <alignment horizontal="center" vertical="center" wrapText="1"/>
    </xf>
    <xf numFmtId="187" fontId="43" fillId="19" borderId="0" xfId="0" applyNumberFormat="1" applyFont="1" applyFill="1" applyBorder="1" applyAlignment="1">
      <alignment horizontal="center" vertical="center"/>
    </xf>
    <xf numFmtId="187" fontId="43" fillId="19" borderId="0" xfId="0" applyNumberFormat="1" applyFont="1" applyFill="1" applyBorder="1" applyAlignment="1">
      <alignment vertical="center" wrapText="1"/>
    </xf>
    <xf numFmtId="0" fontId="0" fillId="19" borderId="77" xfId="0" applyFont="1" applyFill="1" applyBorder="1" applyAlignment="1">
      <alignment horizontal="center" vertical="center" wrapText="1"/>
    </xf>
    <xf numFmtId="0" fontId="0" fillId="19" borderId="77" xfId="0" applyFont="1" applyFill="1" applyBorder="1" applyAlignment="1">
      <alignment horizontal="center" vertical="center"/>
    </xf>
    <xf numFmtId="187" fontId="43" fillId="19" borderId="77" xfId="2" applyNumberFormat="1" applyFont="1" applyFill="1" applyBorder="1" applyAlignment="1">
      <alignment horizontal="center" vertical="center" wrapText="1"/>
    </xf>
    <xf numFmtId="187" fontId="43" fillId="19" borderId="77" xfId="0" applyNumberFormat="1" applyFont="1" applyFill="1" applyBorder="1" applyAlignment="1">
      <alignment horizontal="center" vertical="center"/>
    </xf>
    <xf numFmtId="0" fontId="43" fillId="19" borderId="0" xfId="0" applyFont="1" applyFill="1" applyBorder="1" applyAlignment="1">
      <alignment horizontal="left" vertical="center"/>
    </xf>
    <xf numFmtId="0" fontId="43" fillId="19" borderId="0" xfId="0" applyFont="1" applyFill="1" applyBorder="1" applyAlignment="1">
      <alignment horizontal="left" vertical="center"/>
    </xf>
    <xf numFmtId="0" fontId="40" fillId="19" borderId="24" xfId="0" applyFont="1" applyFill="1" applyBorder="1" applyAlignment="1">
      <alignment horizontal="center" vertical="center" wrapText="1"/>
    </xf>
    <xf numFmtId="0" fontId="40" fillId="19" borderId="2" xfId="0" applyFont="1" applyFill="1" applyBorder="1" applyAlignment="1">
      <alignment horizontal="center" vertical="center" wrapText="1"/>
    </xf>
    <xf numFmtId="187" fontId="43" fillId="19" borderId="0" xfId="2" applyNumberFormat="1" applyFont="1" applyFill="1" applyBorder="1" applyAlignment="1">
      <alignment horizontal="left" vertical="center"/>
    </xf>
    <xf numFmtId="187" fontId="43" fillId="19" borderId="0" xfId="2" applyNumberFormat="1" applyFont="1" applyFill="1" applyBorder="1" applyAlignment="1">
      <alignment horizontal="center" vertical="center"/>
    </xf>
    <xf numFmtId="187" fontId="43" fillId="19" borderId="77" xfId="2" applyNumberFormat="1" applyFont="1" applyFill="1" applyBorder="1" applyAlignment="1">
      <alignment horizontal="left" vertical="center"/>
    </xf>
    <xf numFmtId="187" fontId="43" fillId="19" borderId="77" xfId="2" applyNumberFormat="1" applyFont="1" applyFill="1" applyBorder="1" applyAlignment="1">
      <alignment horizontal="center" vertical="center"/>
    </xf>
    <xf numFmtId="0" fontId="43" fillId="19" borderId="0" xfId="0" applyFont="1" applyFill="1" applyAlignment="1">
      <alignment horizontal="center" vertical="center" wrapText="1"/>
    </xf>
    <xf numFmtId="3" fontId="43" fillId="19" borderId="0" xfId="1" applyNumberFormat="1" applyFont="1" applyFill="1" applyBorder="1" applyAlignment="1">
      <alignment horizontal="center" vertical="center"/>
    </xf>
    <xf numFmtId="3" fontId="43" fillId="19" borderId="77" xfId="1" applyNumberFormat="1" applyFont="1" applyFill="1" applyBorder="1" applyAlignment="1">
      <alignment horizontal="center" vertical="center"/>
    </xf>
    <xf numFmtId="0" fontId="10" fillId="19" borderId="0" xfId="0" applyFont="1" applyFill="1" applyAlignment="1">
      <alignment horizontal="left" vertical="center" wrapText="1"/>
    </xf>
    <xf numFmtId="0" fontId="46" fillId="19" borderId="0" xfId="0" applyFont="1" applyFill="1" applyBorder="1" applyAlignment="1">
      <alignment vertical="center"/>
    </xf>
    <xf numFmtId="0" fontId="24" fillId="19" borderId="24" xfId="0" applyFont="1" applyFill="1" applyBorder="1" applyAlignment="1">
      <alignment horizontal="center" vertical="center" wrapText="1"/>
    </xf>
    <xf numFmtId="170" fontId="43" fillId="19" borderId="0" xfId="2" applyNumberFormat="1" applyFont="1" applyFill="1" applyBorder="1" applyAlignment="1">
      <alignment horizontal="center" vertical="center"/>
    </xf>
    <xf numFmtId="170" fontId="43" fillId="19" borderId="77" xfId="2" applyNumberFormat="1" applyFont="1" applyFill="1" applyBorder="1" applyAlignment="1">
      <alignment horizontal="center" vertical="center"/>
    </xf>
    <xf numFmtId="0" fontId="40" fillId="19" borderId="2" xfId="0" applyFont="1" applyFill="1" applyBorder="1" applyAlignment="1">
      <alignment horizontal="center" vertical="center"/>
    </xf>
    <xf numFmtId="0" fontId="40" fillId="19" borderId="2" xfId="0" applyFont="1" applyFill="1" applyBorder="1" applyAlignment="1">
      <alignment horizontal="center" vertical="center"/>
    </xf>
    <xf numFmtId="166" fontId="43" fillId="19" borderId="0" xfId="1" applyNumberFormat="1" applyFont="1" applyFill="1" applyAlignment="1">
      <alignment vertical="center"/>
    </xf>
    <xf numFmtId="164" fontId="43" fillId="19" borderId="0" xfId="0" applyNumberFormat="1" applyFont="1" applyFill="1" applyAlignment="1">
      <alignment horizontal="center" vertical="center"/>
    </xf>
    <xf numFmtId="165" fontId="43" fillId="19" borderId="0" xfId="0" applyNumberFormat="1" applyFont="1" applyFill="1" applyAlignment="1">
      <alignment vertical="center"/>
    </xf>
    <xf numFmtId="166" fontId="43" fillId="19" borderId="77" xfId="1" applyNumberFormat="1" applyFont="1" applyFill="1" applyBorder="1" applyAlignment="1">
      <alignment vertical="center"/>
    </xf>
    <xf numFmtId="164" fontId="43" fillId="19" borderId="77" xfId="0" applyNumberFormat="1" applyFont="1" applyFill="1" applyBorder="1" applyAlignment="1">
      <alignment horizontal="center" vertical="center"/>
    </xf>
    <xf numFmtId="165" fontId="43" fillId="19" borderId="77" xfId="0" applyNumberFormat="1" applyFont="1" applyFill="1" applyBorder="1" applyAlignment="1">
      <alignment vertical="center"/>
    </xf>
    <xf numFmtId="43" fontId="0" fillId="0" borderId="0" xfId="0" applyNumberFormat="1" applyAlignment="1">
      <alignment vertical="center"/>
    </xf>
    <xf numFmtId="0" fontId="58" fillId="26" borderId="63" xfId="0" applyFont="1" applyFill="1" applyBorder="1" applyAlignment="1">
      <alignment horizontal="center" vertical="center" wrapText="1"/>
    </xf>
    <xf numFmtId="0" fontId="58" fillId="2" borderId="62" xfId="0" applyFont="1" applyFill="1" applyBorder="1" applyAlignment="1">
      <alignment horizontal="center" vertical="center" wrapText="1"/>
    </xf>
    <xf numFmtId="0" fontId="58" fillId="2" borderId="63" xfId="0" applyFont="1" applyFill="1" applyBorder="1" applyAlignment="1">
      <alignment horizontal="center" vertical="center" wrapText="1"/>
    </xf>
    <xf numFmtId="0" fontId="56" fillId="0" borderId="64" xfId="0" applyFont="1" applyBorder="1" applyAlignment="1">
      <alignment horizontal="center" vertical="center" wrapText="1"/>
    </xf>
    <xf numFmtId="0" fontId="56" fillId="0" borderId="70" xfId="0" applyFont="1" applyBorder="1" applyAlignment="1">
      <alignment horizontal="center" vertical="center"/>
    </xf>
    <xf numFmtId="170" fontId="56" fillId="0" borderId="66" xfId="1" applyNumberFormat="1" applyFont="1" applyBorder="1" applyAlignment="1">
      <alignment horizontal="right" vertical="center" wrapText="1"/>
    </xf>
    <xf numFmtId="170" fontId="56" fillId="0" borderId="64" xfId="2" applyNumberFormat="1" applyFont="1" applyBorder="1" applyAlignment="1">
      <alignment horizontal="center" vertical="center"/>
    </xf>
    <xf numFmtId="170" fontId="56" fillId="0" borderId="66" xfId="0" applyNumberFormat="1" applyFont="1" applyFill="1" applyBorder="1" applyAlignment="1">
      <alignment horizontal="center" vertical="center"/>
    </xf>
    <xf numFmtId="2" fontId="5" fillId="0" borderId="24" xfId="0" applyNumberFormat="1" applyFont="1" applyBorder="1" applyAlignment="1">
      <alignment vertical="top" wrapText="1"/>
    </xf>
    <xf numFmtId="0" fontId="45" fillId="19" borderId="24" xfId="0" applyFont="1" applyFill="1" applyBorder="1" applyAlignment="1">
      <alignment horizontal="center" vertical="center"/>
    </xf>
    <xf numFmtId="0" fontId="44" fillId="0" borderId="0" xfId="0" applyFont="1"/>
  </cellXfs>
  <cellStyles count="112">
    <cellStyle name="Bad 2" xfId="15"/>
    <cellStyle name="Comma" xfId="1" builtinId="3"/>
    <cellStyle name="Comma [0] 2" xfId="78"/>
    <cellStyle name="Comma 10" xfId="79"/>
    <cellStyle name="Comma 11" xfId="80"/>
    <cellStyle name="Comma 12" xfId="81"/>
    <cellStyle name="Comma 12 2" xfId="82"/>
    <cellStyle name="Comma 13" xfId="83"/>
    <cellStyle name="Comma 14" xfId="84"/>
    <cellStyle name="Comma 2" xfId="7"/>
    <cellStyle name="Comma 3" xfId="13"/>
    <cellStyle name="Comma 3 2" xfId="85"/>
    <cellStyle name="Comma 4" xfId="16"/>
    <cellStyle name="Comma 5" xfId="17"/>
    <cellStyle name="Comma 6" xfId="18"/>
    <cellStyle name="Comma 7" xfId="75"/>
    <cellStyle name="Comma 8" xfId="86"/>
    <cellStyle name="Comma 8 2" xfId="87"/>
    <cellStyle name="Comma 9" xfId="88"/>
    <cellStyle name="Currency" xfId="2" builtinId="4"/>
    <cellStyle name="Currency 2" xfId="4"/>
    <cellStyle name="Currency 2 10" xfId="19"/>
    <cellStyle name="Currency 2 11" xfId="20"/>
    <cellStyle name="Currency 2 12" xfId="21"/>
    <cellStyle name="Currency 2 13" xfId="22"/>
    <cellStyle name="Currency 2 14" xfId="23"/>
    <cellStyle name="Currency 2 15" xfId="24"/>
    <cellStyle name="Currency 2 16" xfId="25"/>
    <cellStyle name="Currency 2 17" xfId="26"/>
    <cellStyle name="Currency 2 2" xfId="6"/>
    <cellStyle name="Currency 2 3" xfId="10"/>
    <cellStyle name="Currency 2 4" xfId="27"/>
    <cellStyle name="Currency 2 5" xfId="28"/>
    <cellStyle name="Currency 2 6" xfId="29"/>
    <cellStyle name="Currency 2 7" xfId="30"/>
    <cellStyle name="Currency 2 8" xfId="31"/>
    <cellStyle name="Currency 2 9" xfId="32"/>
    <cellStyle name="Currency 3" xfId="33"/>
    <cellStyle name="Currency 4" xfId="34"/>
    <cellStyle name="Hyperlink" xfId="111" builtinId="8"/>
    <cellStyle name="Input 2" xfId="35"/>
    <cellStyle name="Normal" xfId="0" builtinId="0"/>
    <cellStyle name="Normal 10" xfId="89"/>
    <cellStyle name="Normal 11" xfId="90"/>
    <cellStyle name="Normal 12" xfId="91"/>
    <cellStyle name="Normal 13" xfId="92"/>
    <cellStyle name="Normal 14" xfId="93"/>
    <cellStyle name="Normal 14 2" xfId="94"/>
    <cellStyle name="Normal 14 2 2" xfId="95"/>
    <cellStyle name="Normal 15" xfId="96"/>
    <cellStyle name="Normal 15 2" xfId="97"/>
    <cellStyle name="Normal 16" xfId="98"/>
    <cellStyle name="Normal 17" xfId="77"/>
    <cellStyle name="Normal 2" xfId="3"/>
    <cellStyle name="Normal 2 10" xfId="14"/>
    <cellStyle name="Normal 2 11" xfId="36"/>
    <cellStyle name="Normal 2 12" xfId="37"/>
    <cellStyle name="Normal 2 13" xfId="38"/>
    <cellStyle name="Normal 2 14" xfId="39"/>
    <cellStyle name="Normal 2 15" xfId="40"/>
    <cellStyle name="Normal 2 16" xfId="41"/>
    <cellStyle name="Normal 2 17" xfId="42"/>
    <cellStyle name="Normal 2 18" xfId="76"/>
    <cellStyle name="Normal 2 2" xfId="5"/>
    <cellStyle name="Normal 2 2 2" xfId="11"/>
    <cellStyle name="Normal 2 2 3" xfId="12"/>
    <cellStyle name="Normal 2 3" xfId="9"/>
    <cellStyle name="Normal 2 4" xfId="43"/>
    <cellStyle name="Normal 2 5" xfId="44"/>
    <cellStyle name="Normal 2 6" xfId="45"/>
    <cellStyle name="Normal 2 7" xfId="46"/>
    <cellStyle name="Normal 2 8" xfId="47"/>
    <cellStyle name="Normal 2 9" xfId="48"/>
    <cellStyle name="Normal 3" xfId="49"/>
    <cellStyle name="Normal 3 10" xfId="50"/>
    <cellStyle name="Normal 3 11" xfId="51"/>
    <cellStyle name="Normal 3 12" xfId="52"/>
    <cellStyle name="Normal 3 13" xfId="53"/>
    <cellStyle name="Normal 3 14" xfId="54"/>
    <cellStyle name="Normal 3 15" xfId="55"/>
    <cellStyle name="Normal 3 16" xfId="56"/>
    <cellStyle name="Normal 3 2" xfId="57"/>
    <cellStyle name="Normal 3 3" xfId="58"/>
    <cellStyle name="Normal 3 4" xfId="59"/>
    <cellStyle name="Normal 3 5" xfId="60"/>
    <cellStyle name="Normal 3 6" xfId="61"/>
    <cellStyle name="Normal 3 7" xfId="62"/>
    <cellStyle name="Normal 3 8" xfId="63"/>
    <cellStyle name="Normal 3 9" xfId="64"/>
    <cellStyle name="Normal 4" xfId="65"/>
    <cellStyle name="Normal 5" xfId="66"/>
    <cellStyle name="Normal 6" xfId="67"/>
    <cellStyle name="Normal 7" xfId="68"/>
    <cellStyle name="Normal 8" xfId="74"/>
    <cellStyle name="Normal 8 2" xfId="99"/>
    <cellStyle name="Normal 8 3" xfId="100"/>
    <cellStyle name="Normal 9" xfId="101"/>
    <cellStyle name="Note 2" xfId="102"/>
    <cellStyle name="Percent" xfId="8" builtinId="5"/>
    <cellStyle name="Percent 10" xfId="103"/>
    <cellStyle name="Percent 11" xfId="104"/>
    <cellStyle name="Percent 12" xfId="105"/>
    <cellStyle name="Percent 2" xfId="69"/>
    <cellStyle name="Percent 3" xfId="70"/>
    <cellStyle name="Percent 3 2" xfId="106"/>
    <cellStyle name="Percent 4" xfId="71"/>
    <cellStyle name="Percent 5" xfId="72"/>
    <cellStyle name="Percent 5 2" xfId="107"/>
    <cellStyle name="Percent 6" xfId="73"/>
    <cellStyle name="Percent 7" xfId="108"/>
    <cellStyle name="Percent 8" xfId="109"/>
    <cellStyle name="Percent 9" xfId="1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explosion val="5"/>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Lbls>
            <c:dLbl>
              <c:idx val="1"/>
              <c:layout>
                <c:manualLayout>
                  <c:x val="-1.6666666666666666E-2"/>
                  <c:y val="1.8518518518518507E-2"/>
                </c:manualLayout>
              </c:layout>
              <c:dLblPos val="bestFit"/>
              <c:showLegendKey val="0"/>
              <c:showVal val="1"/>
              <c:showCatName val="1"/>
              <c:showSerName val="0"/>
              <c:showPercent val="0"/>
              <c:showBubbleSize val="0"/>
              <c:extLst>
                <c:ext xmlns:c15="http://schemas.microsoft.com/office/drawing/2012/chart" uri="{CE6537A1-D6FC-4f65-9D91-7224C49458BB}">
                  <c15:layout/>
                </c:ext>
              </c:extLst>
            </c:dLbl>
            <c:dLbl>
              <c:idx val="2"/>
              <c:layout>
                <c:manualLayout>
                  <c:x val="-1.1111111111111112E-2"/>
                  <c:y val="2.3148148148148147E-2"/>
                </c:manualLayout>
              </c:layout>
              <c:dLblPos val="bestFit"/>
              <c:showLegendKey val="0"/>
              <c:showVal val="1"/>
              <c:showCatName val="1"/>
              <c:showSerName val="0"/>
              <c:showPercent val="0"/>
              <c:showBubbleSize val="0"/>
              <c:extLst>
                <c:ext xmlns:c15="http://schemas.microsoft.com/office/drawing/2012/chart" uri="{CE6537A1-D6FC-4f65-9D91-7224C49458BB}">
                  <c15:layout/>
                </c:ext>
              </c:extLst>
            </c:dLbl>
            <c:dLbl>
              <c:idx val="3"/>
              <c:layout>
                <c:manualLayout>
                  <c:x val="-1.5765080007605847E-2"/>
                  <c:y val="-6.2036964129483917E-2"/>
                </c:manualLayout>
              </c:layout>
              <c:spPr>
                <a:noFill/>
                <a:ln>
                  <a:noFill/>
                </a:ln>
                <a:effectLst/>
              </c:spPr>
              <c:txPr>
                <a:bodyPr rot="0" spcFirstLastPara="1" vertOverflow="clip" horzOverflow="clip" vert="horz" wrap="square" lIns="38100" tIns="19050" rIns="38100" bIns="19050" anchor="ctr" anchorCtr="1">
                  <a:noAutofit/>
                </a:bodyPr>
                <a:lstStyle/>
                <a:p>
                  <a:pPr>
                    <a:defRPr sz="1200" b="0" i="0" u="none" strike="noStrike" kern="1200" baseline="0">
                      <a:solidFill>
                        <a:schemeClr val="dk1">
                          <a:lumMod val="65000"/>
                          <a:lumOff val="35000"/>
                        </a:schemeClr>
                      </a:solidFill>
                      <a:latin typeface="Times New Roman" panose="02020603050405020304" pitchFamily="18" charset="0"/>
                      <a:ea typeface="+mn-ea"/>
                      <a:cs typeface="Times New Roman" panose="02020603050405020304" pitchFamily="18" charset="0"/>
                    </a:defRPr>
                  </a:pPr>
                  <a:endParaRPr lang="en-US"/>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668246906521077"/>
                      <c:h val="0.23564268008165645"/>
                    </c:manualLayout>
                  </c15:layout>
                </c:ext>
              </c:extLst>
            </c:dLbl>
            <c:dLbl>
              <c:idx val="6"/>
              <c:layout>
                <c:manualLayout>
                  <c:x val="-1.2613873870752149E-2"/>
                  <c:y val="-3.0555555555555555E-2"/>
                </c:manualLayout>
              </c:layout>
              <c:dLblPos val="bestFit"/>
              <c:showLegendKey val="0"/>
              <c:showVal val="1"/>
              <c:showCatName val="1"/>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dk1">
                        <a:lumMod val="65000"/>
                        <a:lumOff val="3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ext>
            </c:extLst>
          </c:dLbls>
          <c:cat>
            <c:strRef>
              <c:f>'Costs Summary '!$B$7:$B$14</c:f>
              <c:strCache>
                <c:ptCount val="8"/>
                <c:pt idx="0">
                  <c:v>HANOVER STREET NORTH OF MCCOMAS STREET</c:v>
                </c:pt>
                <c:pt idx="1">
                  <c:v>MCCOMAS STREET FROM HANOVER STREET TO KEY HIGHWAY</c:v>
                </c:pt>
                <c:pt idx="2">
                  <c:v>MCCOMAS STREET AT KEY HIGHWAY INTERSECTION</c:v>
                </c:pt>
                <c:pt idx="3">
                  <c:v>I-95 SB OFF RAMP TO KEY HIGHWAY</c:v>
                </c:pt>
                <c:pt idx="4">
                  <c:v>I-95 SB OFF RAMP TO MCCOMAS STREET</c:v>
                </c:pt>
                <c:pt idx="5">
                  <c:v>MCCOMAS STREET ON RAMP TO I-95 SB</c:v>
                </c:pt>
                <c:pt idx="6">
                  <c:v>CSX TRACK RELOCATION</c:v>
                </c:pt>
                <c:pt idx="7">
                  <c:v>NATIONAL ENVIRONMENTAL POLICY ACT AND INTERSTATE ACCESS POINT APPROVAL STUDY</c:v>
                </c:pt>
              </c:strCache>
            </c:strRef>
          </c:cat>
          <c:val>
            <c:numRef>
              <c:f>'Costs Summary '!$C$7:$C$14</c:f>
              <c:numCache>
                <c:formatCode>_("$"* #,##0_);_("$"* \(#,##0\);_("$"* "-"??_);_(@_)</c:formatCode>
                <c:ptCount val="8"/>
                <c:pt idx="0">
                  <c:v>20623000</c:v>
                </c:pt>
                <c:pt idx="1">
                  <c:v>34009000</c:v>
                </c:pt>
                <c:pt idx="2">
                  <c:v>17560000</c:v>
                </c:pt>
                <c:pt idx="3">
                  <c:v>13818000</c:v>
                </c:pt>
                <c:pt idx="4">
                  <c:v>43910000</c:v>
                </c:pt>
                <c:pt idx="5">
                  <c:v>28830000</c:v>
                </c:pt>
                <c:pt idx="6">
                  <c:v>19465000</c:v>
                </c:pt>
                <c:pt idx="7">
                  <c:v>5074000</c:v>
                </c:pt>
              </c:numCache>
            </c:numRef>
          </c:val>
        </c:ser>
        <c:dLbls>
          <c:showLegendKey val="0"/>
          <c:showVal val="0"/>
          <c:showCatName val="0"/>
          <c:showSerName val="0"/>
          <c:showPercent val="0"/>
          <c:showBubbleSize val="0"/>
          <c:showLeaderLines val="0"/>
        </c:dLbls>
        <c:firstSliceAng val="87"/>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488949</xdr:colOff>
      <xdr:row>32</xdr:row>
      <xdr:rowOff>0</xdr:rowOff>
    </xdr:from>
    <xdr:to>
      <xdr:col>3</xdr:col>
      <xdr:colOff>1498600</xdr:colOff>
      <xdr:row>54</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52</xdr:col>
      <xdr:colOff>185048</xdr:colOff>
      <xdr:row>59</xdr:row>
      <xdr:rowOff>12700</xdr:rowOff>
    </xdr:from>
    <xdr:to>
      <xdr:col>63</xdr:col>
      <xdr:colOff>360938</xdr:colOff>
      <xdr:row>82</xdr:row>
      <xdr:rowOff>180276</xdr:rowOff>
    </xdr:to>
    <xdr:pic>
      <xdr:nvPicPr>
        <xdr:cNvPr id="2" name="Picture 1"/>
        <xdr:cNvPicPr>
          <a:picLocks noChangeAspect="1"/>
        </xdr:cNvPicPr>
      </xdr:nvPicPr>
      <xdr:blipFill>
        <a:blip xmlns:r="http://schemas.openxmlformats.org/officeDocument/2006/relationships" r:embed="rId1"/>
        <a:stretch>
          <a:fillRect/>
        </a:stretch>
      </xdr:blipFill>
      <xdr:spPr>
        <a:xfrm>
          <a:off x="9189348" y="11823700"/>
          <a:ext cx="6881490" cy="4752276"/>
        </a:xfrm>
        <a:prstGeom prst="rect">
          <a:avLst/>
        </a:prstGeom>
        <a:ln w="19050">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84421</xdr:colOff>
      <xdr:row>0</xdr:row>
      <xdr:rowOff>0</xdr:rowOff>
    </xdr:from>
    <xdr:to>
      <xdr:col>13</xdr:col>
      <xdr:colOff>161329</xdr:colOff>
      <xdr:row>21</xdr:row>
      <xdr:rowOff>37552</xdr:rowOff>
    </xdr:to>
    <xdr:pic>
      <xdr:nvPicPr>
        <xdr:cNvPr id="2" name="Picture 1"/>
        <xdr:cNvPicPr>
          <a:picLocks noChangeAspect="1"/>
        </xdr:cNvPicPr>
      </xdr:nvPicPr>
      <xdr:blipFill>
        <a:blip xmlns:r="http://schemas.openxmlformats.org/officeDocument/2006/relationships" r:embed="rId1"/>
        <a:stretch>
          <a:fillRect/>
        </a:stretch>
      </xdr:blipFill>
      <xdr:spPr>
        <a:xfrm>
          <a:off x="6723346" y="0"/>
          <a:ext cx="3972633" cy="3647527"/>
        </a:xfrm>
        <a:prstGeom prst="rect">
          <a:avLst/>
        </a:prstGeom>
      </xdr:spPr>
    </xdr:pic>
    <xdr:clientData/>
  </xdr:twoCellAnchor>
  <xdr:twoCellAnchor editAs="oneCell">
    <xdr:from>
      <xdr:col>5</xdr:col>
      <xdr:colOff>781049</xdr:colOff>
      <xdr:row>24</xdr:row>
      <xdr:rowOff>132240</xdr:rowOff>
    </xdr:from>
    <xdr:to>
      <xdr:col>14</xdr:col>
      <xdr:colOff>27439</xdr:colOff>
      <xdr:row>33</xdr:row>
      <xdr:rowOff>133045</xdr:rowOff>
    </xdr:to>
    <xdr:pic>
      <xdr:nvPicPr>
        <xdr:cNvPr id="3" name="Picture 2"/>
        <xdr:cNvPicPr>
          <a:picLocks noChangeAspect="1"/>
        </xdr:cNvPicPr>
      </xdr:nvPicPr>
      <xdr:blipFill>
        <a:blip xmlns:r="http://schemas.openxmlformats.org/officeDocument/2006/relationships" r:embed="rId2"/>
        <a:stretch>
          <a:fillRect/>
        </a:stretch>
      </xdr:blipFill>
      <xdr:spPr>
        <a:xfrm>
          <a:off x="5743574" y="4866165"/>
          <a:ext cx="5428115" cy="14581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ictoria/Documents/Freight%20Corridor%20Bottleneck%20Relief%2060/CalBC/Cal_BC_v5.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victoria/Documents/Freight%20Corridor%20Bottleneck%20Relief%2060/BCR%20Spreedsheet/Lamar%20Ave,%20BCA%20Spreedshe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odels\COMMUTER\COMMUTER_v20\COMMUTER_v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ivictoria/Documents/Lamar%20Corridor%20Project%20(FASTLANE)/EmmissionRates/Indy_AQCal_Update_20160212.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Template%20of%20Benefits%20%20v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indrakanti/Desktop/TC_CWW%20v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8623%20-%20NJTPA_GHGRedctPln\001\Task%202\Analysis\NJTPA-GHGInv&amp;ForecastToolv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ppendix_BCA%20Access%20I-95%20Baltimo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structions"/>
      <sheetName val="1) Project Information"/>
      <sheetName val="2) Model Inputs"/>
      <sheetName val="3) Results"/>
      <sheetName val="Travel Time"/>
      <sheetName val="Vehicle Operating Costs"/>
      <sheetName val="Accident Costs"/>
      <sheetName val="Emissions"/>
      <sheetName val="Final Calculations"/>
      <sheetName val="PARAMETERS"/>
      <sheetName val="Module1"/>
    </sheetNames>
    <sheetDataSet>
      <sheetData sheetId="0"/>
      <sheetData sheetId="1"/>
      <sheetData sheetId="2">
        <row r="4">
          <cell r="E4" t="str">
            <v>Hypothetical Project</v>
          </cell>
        </row>
        <row r="12">
          <cell r="Q12">
            <v>7.0000000000000001E-3</v>
          </cell>
        </row>
        <row r="13">
          <cell r="Q13">
            <v>0.27</v>
          </cell>
        </row>
        <row r="14">
          <cell r="Q14">
            <v>0.53</v>
          </cell>
        </row>
        <row r="15">
          <cell r="F15">
            <v>2</v>
          </cell>
        </row>
        <row r="17">
          <cell r="F17">
            <v>5</v>
          </cell>
        </row>
        <row r="24">
          <cell r="G24" t="str">
            <v>F</v>
          </cell>
          <cell r="H24" t="str">
            <v>F</v>
          </cell>
        </row>
        <row r="28">
          <cell r="G28" t="str">
            <v>N</v>
          </cell>
        </row>
        <row r="30">
          <cell r="H30">
            <v>0</v>
          </cell>
          <cell r="P30">
            <v>0.41</v>
          </cell>
        </row>
        <row r="31">
          <cell r="G31">
            <v>35</v>
          </cell>
          <cell r="H31">
            <v>35</v>
          </cell>
          <cell r="Q31">
            <v>1</v>
          </cell>
        </row>
        <row r="32">
          <cell r="H32">
            <v>0</v>
          </cell>
        </row>
        <row r="33">
          <cell r="G33">
            <v>0</v>
          </cell>
          <cell r="H33">
            <v>0</v>
          </cell>
        </row>
        <row r="38">
          <cell r="G38">
            <v>0</v>
          </cell>
          <cell r="H38">
            <v>0</v>
          </cell>
        </row>
        <row r="39">
          <cell r="H39">
            <v>0</v>
          </cell>
        </row>
        <row r="40">
          <cell r="H40">
            <v>0</v>
          </cell>
        </row>
        <row r="41">
          <cell r="H41">
            <v>1</v>
          </cell>
        </row>
        <row r="42">
          <cell r="G42" t="str">
            <v/>
          </cell>
          <cell r="H42">
            <v>0</v>
          </cell>
          <cell r="Q42">
            <v>0</v>
          </cell>
        </row>
        <row r="43">
          <cell r="G43">
            <v>0.09</v>
          </cell>
          <cell r="H43">
            <v>0.09</v>
          </cell>
          <cell r="Q43">
            <v>0</v>
          </cell>
        </row>
        <row r="44">
          <cell r="P44">
            <v>0</v>
          </cell>
          <cell r="Q44">
            <v>0</v>
          </cell>
        </row>
        <row r="45">
          <cell r="P45">
            <v>0</v>
          </cell>
          <cell r="Q45">
            <v>0</v>
          </cell>
        </row>
        <row r="47">
          <cell r="G47">
            <v>0</v>
          </cell>
          <cell r="H47">
            <v>0</v>
          </cell>
        </row>
        <row r="48">
          <cell r="P48">
            <v>0</v>
          </cell>
        </row>
        <row r="49">
          <cell r="P49">
            <v>0</v>
          </cell>
        </row>
        <row r="51">
          <cell r="G51">
            <v>0</v>
          </cell>
          <cell r="H51">
            <v>0</v>
          </cell>
        </row>
        <row r="52">
          <cell r="G52">
            <v>0</v>
          </cell>
          <cell r="H52">
            <v>0</v>
          </cell>
          <cell r="Q52">
            <v>0</v>
          </cell>
        </row>
        <row r="53">
          <cell r="Q53">
            <v>0</v>
          </cell>
        </row>
        <row r="56">
          <cell r="G56" t="str">
            <v/>
          </cell>
          <cell r="H56" t="str">
            <v/>
          </cell>
        </row>
        <row r="59">
          <cell r="G59">
            <v>1.3</v>
          </cell>
          <cell r="H59">
            <v>1.3</v>
          </cell>
        </row>
        <row r="60">
          <cell r="G60">
            <v>1.1499999999999999</v>
          </cell>
          <cell r="H60">
            <v>1.1499999999999999</v>
          </cell>
        </row>
        <row r="61">
          <cell r="G61">
            <v>2.15</v>
          </cell>
          <cell r="H61">
            <v>2.15</v>
          </cell>
        </row>
      </sheetData>
      <sheetData sheetId="3">
        <row r="7">
          <cell r="U7">
            <v>7.0000000000000001E-3</v>
          </cell>
        </row>
        <row r="8">
          <cell r="U8">
            <v>0.27</v>
          </cell>
        </row>
        <row r="9">
          <cell r="I9">
            <v>0</v>
          </cell>
          <cell r="U9">
            <v>0.53</v>
          </cell>
        </row>
        <row r="10">
          <cell r="I10">
            <v>0</v>
          </cell>
          <cell r="AG10">
            <v>0</v>
          </cell>
        </row>
        <row r="11">
          <cell r="I11">
            <v>0</v>
          </cell>
          <cell r="AG11">
            <v>0</v>
          </cell>
        </row>
        <row r="12">
          <cell r="I12">
            <v>0</v>
          </cell>
          <cell r="T12">
            <v>0</v>
          </cell>
        </row>
        <row r="13">
          <cell r="I13">
            <v>55</v>
          </cell>
        </row>
        <row r="14">
          <cell r="I14">
            <v>55</v>
          </cell>
          <cell r="AG14">
            <v>0</v>
          </cell>
        </row>
        <row r="15">
          <cell r="I15">
            <v>55</v>
          </cell>
          <cell r="AG15">
            <v>0</v>
          </cell>
        </row>
        <row r="16">
          <cell r="I16">
            <v>55</v>
          </cell>
        </row>
        <row r="19">
          <cell r="I19">
            <v>0</v>
          </cell>
        </row>
        <row r="20">
          <cell r="I20">
            <v>0</v>
          </cell>
          <cell r="U20">
            <v>7.0000000000000001E-3</v>
          </cell>
        </row>
        <row r="21">
          <cell r="I21">
            <v>0</v>
          </cell>
          <cell r="U21">
            <v>0.27</v>
          </cell>
        </row>
        <row r="22">
          <cell r="I22">
            <v>55</v>
          </cell>
          <cell r="U22">
            <v>0.53</v>
          </cell>
        </row>
        <row r="23">
          <cell r="I23">
            <v>55</v>
          </cell>
        </row>
        <row r="24">
          <cell r="I24">
            <v>55</v>
          </cell>
        </row>
        <row r="25">
          <cell r="AG25">
            <v>0</v>
          </cell>
        </row>
        <row r="26">
          <cell r="AG26">
            <v>0</v>
          </cell>
        </row>
        <row r="28">
          <cell r="I28">
            <v>0</v>
          </cell>
        </row>
        <row r="29">
          <cell r="I29">
            <v>0</v>
          </cell>
          <cell r="AG29">
            <v>0</v>
          </cell>
        </row>
        <row r="30">
          <cell r="I30">
            <v>0</v>
          </cell>
          <cell r="AG30">
            <v>0</v>
          </cell>
        </row>
        <row r="31">
          <cell r="I31">
            <v>0</v>
          </cell>
        </row>
        <row r="32">
          <cell r="I32">
            <v>55</v>
          </cell>
        </row>
        <row r="33">
          <cell r="I33">
            <v>55</v>
          </cell>
        </row>
        <row r="34">
          <cell r="I34">
            <v>55</v>
          </cell>
        </row>
        <row r="35">
          <cell r="I35">
            <v>55</v>
          </cell>
        </row>
        <row r="38">
          <cell r="I38">
            <v>0</v>
          </cell>
        </row>
        <row r="39">
          <cell r="I39">
            <v>0</v>
          </cell>
        </row>
        <row r="40">
          <cell r="I40">
            <v>0</v>
          </cell>
          <cell r="T40" t="str">
            <v>N</v>
          </cell>
        </row>
        <row r="41">
          <cell r="I41">
            <v>55</v>
          </cell>
        </row>
        <row r="42">
          <cell r="I42">
            <v>55</v>
          </cell>
        </row>
        <row r="43">
          <cell r="I43">
            <v>55</v>
          </cell>
        </row>
        <row r="49">
          <cell r="I49">
            <v>0</v>
          </cell>
        </row>
        <row r="50">
          <cell r="I50">
            <v>0</v>
          </cell>
        </row>
        <row r="51">
          <cell r="I51">
            <v>0</v>
          </cell>
          <cell r="U51">
            <v>0</v>
          </cell>
        </row>
        <row r="52">
          <cell r="I52">
            <v>0</v>
          </cell>
          <cell r="U52">
            <v>0</v>
          </cell>
        </row>
        <row r="53">
          <cell r="I53">
            <v>55</v>
          </cell>
          <cell r="U53">
            <v>5</v>
          </cell>
        </row>
        <row r="54">
          <cell r="I54">
            <v>55</v>
          </cell>
          <cell r="U54">
            <v>5</v>
          </cell>
        </row>
        <row r="55">
          <cell r="I55">
            <v>55</v>
          </cell>
        </row>
        <row r="56">
          <cell r="I56">
            <v>55</v>
          </cell>
        </row>
        <row r="57">
          <cell r="U57">
            <v>0</v>
          </cell>
        </row>
        <row r="58">
          <cell r="U58">
            <v>0</v>
          </cell>
        </row>
        <row r="59">
          <cell r="I59">
            <v>0</v>
          </cell>
          <cell r="U59">
            <v>5</v>
          </cell>
        </row>
        <row r="60">
          <cell r="I60">
            <v>0</v>
          </cell>
          <cell r="U60">
            <v>5</v>
          </cell>
        </row>
        <row r="61">
          <cell r="I61">
            <v>0</v>
          </cell>
        </row>
        <row r="62">
          <cell r="I62">
            <v>55</v>
          </cell>
        </row>
        <row r="63">
          <cell r="I63">
            <v>55</v>
          </cell>
        </row>
        <row r="64">
          <cell r="I64">
            <v>55</v>
          </cell>
        </row>
        <row r="65">
          <cell r="U65">
            <v>0</v>
          </cell>
        </row>
        <row r="66">
          <cell r="U66">
            <v>0</v>
          </cell>
        </row>
        <row r="67">
          <cell r="U67">
            <v>5</v>
          </cell>
        </row>
        <row r="68">
          <cell r="I68">
            <v>0</v>
          </cell>
          <cell r="U68">
            <v>5</v>
          </cell>
        </row>
        <row r="69">
          <cell r="I69">
            <v>0</v>
          </cell>
        </row>
        <row r="70">
          <cell r="I70">
            <v>0</v>
          </cell>
        </row>
        <row r="71">
          <cell r="I71">
            <v>0</v>
          </cell>
          <cell r="U71">
            <v>0</v>
          </cell>
        </row>
        <row r="72">
          <cell r="I72">
            <v>55</v>
          </cell>
          <cell r="U72">
            <v>0</v>
          </cell>
        </row>
        <row r="73">
          <cell r="I73">
            <v>55</v>
          </cell>
          <cell r="U73">
            <v>5</v>
          </cell>
        </row>
        <row r="74">
          <cell r="I74">
            <v>55</v>
          </cell>
          <cell r="U74">
            <v>5</v>
          </cell>
        </row>
        <row r="75">
          <cell r="I75">
            <v>55</v>
          </cell>
        </row>
        <row r="78">
          <cell r="I78">
            <v>0</v>
          </cell>
        </row>
        <row r="79">
          <cell r="I79">
            <v>0</v>
          </cell>
        </row>
        <row r="80">
          <cell r="I80">
            <v>0</v>
          </cell>
        </row>
        <row r="81">
          <cell r="I81">
            <v>55</v>
          </cell>
        </row>
        <row r="82">
          <cell r="I82">
            <v>55</v>
          </cell>
        </row>
        <row r="83">
          <cell r="I83">
            <v>55</v>
          </cell>
        </row>
      </sheetData>
      <sheetData sheetId="4">
        <row r="30">
          <cell r="M30" t="str">
            <v>Y</v>
          </cell>
        </row>
        <row r="32">
          <cell r="M32" t="str">
            <v>Y</v>
          </cell>
        </row>
        <row r="34">
          <cell r="M34" t="str">
            <v>Y</v>
          </cell>
        </row>
        <row r="36">
          <cell r="M36" t="str">
            <v>Y</v>
          </cell>
        </row>
      </sheetData>
      <sheetData sheetId="5"/>
      <sheetData sheetId="6"/>
      <sheetData sheetId="7"/>
      <sheetData sheetId="8"/>
      <sheetData sheetId="9">
        <row r="54">
          <cell r="AM54" t="str">
            <v>N/A</v>
          </cell>
        </row>
        <row r="55">
          <cell r="O55" t="e">
            <v>#N/A</v>
          </cell>
          <cell r="P55">
            <v>0</v>
          </cell>
          <cell r="Q55" t="e">
            <v>#N/A</v>
          </cell>
        </row>
        <row r="58">
          <cell r="AM58" t="str">
            <v>N/A</v>
          </cell>
        </row>
      </sheetData>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the Spreadsheet Tabs"/>
      <sheetName val="Benefit-Cost Analysis @3%"/>
      <sheetName val="Benefit-Cost Analysis @7%"/>
      <sheetName val="Costs Summary"/>
      <sheetName val="Benefits Summary"/>
      <sheetName val="Rates - Single"/>
      <sheetName val="Rates - Yearly"/>
      <sheetName val="State St. BCA"/>
      <sheetName val="Pavement and Noise "/>
      <sheetName val="VOC "/>
      <sheetName val="EmissRates(EPA)"/>
      <sheetName val="EmissRates(Cal-B C)"/>
      <sheetName val="KABCO-AIS Conv Matrix"/>
      <sheetName val="Fuel Prices ($ per gal)"/>
      <sheetName val="GXingDelay Redn Calcns"/>
      <sheetName val="TrainDelay Redn Calcns"/>
      <sheetName val="Emission Redn Calcns"/>
      <sheetName val="Trk-to-Rail DiverTraf Calcns"/>
      <sheetName val="Trk-to-Rail DiverTraf Assumps."/>
      <sheetName val="Rail Yard Data &amp; Demand Calcns"/>
      <sheetName val="CPI Factors"/>
      <sheetName val="Pier B Project Costs Data"/>
      <sheetName val="Other Projects Costs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iver-M"/>
      <sheetName val="Load-M"/>
      <sheetName val="MenuOps-M"/>
      <sheetName val="Utils-M"/>
      <sheetName val="WinMenu"/>
      <sheetName val="Splash"/>
      <sheetName val="Layout"/>
      <sheetName val="Status"/>
      <sheetName val="Defaults"/>
      <sheetName val="Inputs"/>
      <sheetName val="TravCalcs"/>
      <sheetName val="EmisCalcs"/>
      <sheetName val="Results"/>
      <sheetName val="ModeCht"/>
      <sheetName val="ScenarioEFs"/>
      <sheetName val="UserEFs"/>
    </sheetNames>
    <sheetDataSet>
      <sheetData sheetId="0" refreshError="1"/>
      <sheetData sheetId="1" refreshError="1"/>
      <sheetData sheetId="2" refreshError="1"/>
      <sheetData sheetId="3" refreshError="1"/>
      <sheetData sheetId="4" refreshError="1"/>
      <sheetData sheetId="5"/>
      <sheetData sheetId="6"/>
      <sheetData sheetId="7"/>
      <sheetData sheetId="8">
        <row r="95">
          <cell r="K95">
            <v>1.5</v>
          </cell>
        </row>
        <row r="103">
          <cell r="J103">
            <v>2</v>
          </cell>
          <cell r="K103">
            <v>0.28699999999999998</v>
          </cell>
        </row>
        <row r="104">
          <cell r="J104">
            <v>2.5</v>
          </cell>
          <cell r="K104">
            <v>0.192</v>
          </cell>
        </row>
        <row r="105">
          <cell r="J105">
            <v>3</v>
          </cell>
          <cell r="K105">
            <v>0.13900000000000001</v>
          </cell>
        </row>
        <row r="106">
          <cell r="J106">
            <v>3.5</v>
          </cell>
          <cell r="K106">
            <v>0.106</v>
          </cell>
        </row>
        <row r="107">
          <cell r="J107">
            <v>4</v>
          </cell>
          <cell r="K107">
            <v>8.5000000000000006E-2</v>
          </cell>
        </row>
        <row r="108">
          <cell r="J108">
            <v>4.5</v>
          </cell>
          <cell r="K108">
            <v>7.0999999999999994E-2</v>
          </cell>
        </row>
        <row r="109">
          <cell r="J109">
            <v>5</v>
          </cell>
          <cell r="K109">
            <v>0.06</v>
          </cell>
        </row>
        <row r="211">
          <cell r="AS211">
            <v>1</v>
          </cell>
          <cell r="AT211" t="str">
            <v>Large (over 2 million)</v>
          </cell>
        </row>
        <row r="212">
          <cell r="AS212">
            <v>2</v>
          </cell>
          <cell r="AT212" t="str">
            <v>Medium (750,000 to 2 million)</v>
          </cell>
        </row>
        <row r="213">
          <cell r="AS213">
            <v>3</v>
          </cell>
          <cell r="AT213" t="str">
            <v>Small (under 750,000)</v>
          </cell>
        </row>
        <row r="223">
          <cell r="AS223">
            <v>1</v>
          </cell>
          <cell r="AT223" t="str">
            <v>Area-Wide (e.g., MSA, county)</v>
          </cell>
        </row>
        <row r="224">
          <cell r="AS224">
            <v>2</v>
          </cell>
          <cell r="AT224" t="str">
            <v>Site or Employer-Based</v>
          </cell>
        </row>
      </sheetData>
      <sheetData sheetId="9">
        <row r="20">
          <cell r="I20" t="str">
            <v>Large-High.vme</v>
          </cell>
        </row>
        <row r="29">
          <cell r="I29">
            <v>1</v>
          </cell>
        </row>
        <row r="34">
          <cell r="I34">
            <v>1</v>
          </cell>
        </row>
        <row r="43">
          <cell r="I43">
            <v>1000</v>
          </cell>
        </row>
      </sheetData>
      <sheetData sheetId="10">
        <row r="49">
          <cell r="N49">
            <v>1288.8568292814202</v>
          </cell>
          <cell r="O49">
            <v>1284.8111771022213</v>
          </cell>
          <cell r="P49">
            <v>-4.0456521791988775</v>
          </cell>
          <cell r="S49">
            <v>16741.050806287432</v>
          </cell>
          <cell r="T49">
            <v>16691.854552837362</v>
          </cell>
          <cell r="U49">
            <v>-49.196253450070799</v>
          </cell>
        </row>
        <row r="55">
          <cell r="N55">
            <v>791.35809317879205</v>
          </cell>
          <cell r="O55">
            <v>788.87406274076386</v>
          </cell>
          <cell r="P55">
            <v>-2.4840304380281109</v>
          </cell>
          <cell r="S55">
            <v>10279.005195060483</v>
          </cell>
          <cell r="T55">
            <v>10248.798695442139</v>
          </cell>
          <cell r="U55">
            <v>-30.206499618343472</v>
          </cell>
        </row>
        <row r="56">
          <cell r="N56">
            <v>497.49873610262819</v>
          </cell>
          <cell r="O56">
            <v>495.93711436145747</v>
          </cell>
          <cell r="P56">
            <v>-1.5616217411707667</v>
          </cell>
          <cell r="S56">
            <v>6462.0456112269494</v>
          </cell>
          <cell r="T56">
            <v>6443.0558573952221</v>
          </cell>
          <cell r="U56">
            <v>-18.989753831727327</v>
          </cell>
        </row>
      </sheetData>
      <sheetData sheetId="11"/>
      <sheetData sheetId="12"/>
      <sheetData sheetId="13" refreshError="1"/>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_ATMS"/>
      <sheetName val="2.2_Signal Synchronization"/>
      <sheetName val="2.3a_Int - New Signal"/>
      <sheetName val="2.3b_Int - New Phase"/>
      <sheetName val="2.3c_Int - Capacity and Phase"/>
      <sheetName val="2.3d_Int - New Signal wTurn"/>
      <sheetName val="2.4_Roundabout"/>
      <sheetName val="3.1_Transit-TransitTech"/>
      <sheetName val="4.1_Bike-Ped-Transit"/>
      <sheetName val="4.2_Reg. Significant Bike-Ped"/>
      <sheetName val="4.3 Carpool-Vanpool"/>
      <sheetName val="2015ER"/>
      <sheetName val="2025ER"/>
      <sheetName val="OtherVariables"/>
      <sheetName val="Sources &amp; Comm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2">
          <cell r="I12">
            <v>0</v>
          </cell>
          <cell r="J12" t="str">
            <v>Central Business District</v>
          </cell>
          <cell r="K12" t="str">
            <v>Central Business District Fringe</v>
          </cell>
          <cell r="L12" t="str">
            <v>Residential</v>
          </cell>
          <cell r="M12" t="str">
            <v>Suburb Central Business District</v>
          </cell>
          <cell r="N12" t="str">
            <v>Rural</v>
          </cell>
        </row>
        <row r="13">
          <cell r="I13">
            <v>0</v>
          </cell>
          <cell r="J13">
            <v>0</v>
          </cell>
          <cell r="K13">
            <v>0</v>
          </cell>
          <cell r="L13">
            <v>0</v>
          </cell>
          <cell r="M13">
            <v>0</v>
          </cell>
          <cell r="N13">
            <v>0</v>
          </cell>
        </row>
        <row r="14">
          <cell r="I14" t="str">
            <v>Expressway</v>
          </cell>
          <cell r="J14">
            <v>1700</v>
          </cell>
          <cell r="K14">
            <v>1700</v>
          </cell>
          <cell r="L14">
            <v>1700</v>
          </cell>
          <cell r="M14">
            <v>1900</v>
          </cell>
          <cell r="N14">
            <v>1800</v>
          </cell>
        </row>
        <row r="15">
          <cell r="I15" t="str">
            <v>Two-Way Arterial (Parking)</v>
          </cell>
          <cell r="J15">
            <v>1650</v>
          </cell>
          <cell r="K15">
            <v>1700</v>
          </cell>
          <cell r="L15">
            <v>1800</v>
          </cell>
          <cell r="M15">
            <v>1700</v>
          </cell>
          <cell r="N15">
            <v>1800</v>
          </cell>
        </row>
        <row r="16">
          <cell r="I16" t="str">
            <v>One-Way Arterial (Parking)</v>
          </cell>
          <cell r="J16">
            <v>1700</v>
          </cell>
          <cell r="K16">
            <v>1700</v>
          </cell>
          <cell r="L16">
            <v>1800</v>
          </cell>
          <cell r="M16">
            <v>1700</v>
          </cell>
          <cell r="N16">
            <v>1800</v>
          </cell>
        </row>
        <row r="17">
          <cell r="I17" t="str">
            <v>Two-Way Arterial (No Parking)</v>
          </cell>
          <cell r="J17">
            <v>1700</v>
          </cell>
          <cell r="K17">
            <v>1700</v>
          </cell>
          <cell r="L17">
            <v>1900</v>
          </cell>
          <cell r="M17">
            <v>1800</v>
          </cell>
          <cell r="N17">
            <v>1850</v>
          </cell>
        </row>
        <row r="18">
          <cell r="I18" t="str">
            <v>Collector</v>
          </cell>
          <cell r="J18">
            <v>1650</v>
          </cell>
          <cell r="K18">
            <v>1700</v>
          </cell>
          <cell r="L18">
            <v>1800</v>
          </cell>
          <cell r="M18">
            <v>1700</v>
          </cell>
          <cell r="N18">
            <v>1800</v>
          </cell>
        </row>
        <row r="19">
          <cell r="I19" t="str">
            <v>Off-Ramp</v>
          </cell>
          <cell r="J19">
            <v>1000</v>
          </cell>
          <cell r="K19">
            <v>1000</v>
          </cell>
          <cell r="L19">
            <v>1000</v>
          </cell>
          <cell r="M19">
            <v>1000</v>
          </cell>
          <cell r="N19">
            <v>1000</v>
          </cell>
        </row>
        <row r="20">
          <cell r="I20" t="str">
            <v>On-Ramp</v>
          </cell>
          <cell r="J20">
            <v>1500</v>
          </cell>
          <cell r="K20">
            <v>1500</v>
          </cell>
          <cell r="L20">
            <v>1500</v>
          </cell>
          <cell r="M20">
            <v>1500</v>
          </cell>
          <cell r="N20">
            <v>1500</v>
          </cell>
        </row>
      </sheetData>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nnel Capacity"/>
      <sheetName val="Notes"/>
    </sheetNames>
    <sheetDataSet>
      <sheetData sheetId="0">
        <row r="2">
          <cell r="C2">
            <v>8000</v>
          </cell>
        </row>
        <row r="3">
          <cell r="C3">
            <v>0.57999999999999996</v>
          </cell>
        </row>
        <row r="4">
          <cell r="C4">
            <v>0</v>
          </cell>
        </row>
        <row r="5">
          <cell r="C5">
            <v>63</v>
          </cell>
        </row>
        <row r="6">
          <cell r="C6">
            <v>36</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Employment stats"/>
      <sheetName val="research"/>
      <sheetName val="Moving Cooler unit impacts"/>
      <sheetName val="Telework"/>
      <sheetName val="Compressed Work Week"/>
      <sheetName val="OtherVariables"/>
    </sheetNames>
    <sheetDataSet>
      <sheetData sheetId="0"/>
      <sheetData sheetId="1" refreshError="1"/>
      <sheetData sheetId="2"/>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UserAssumptions"/>
      <sheetName val="Outputs"/>
      <sheetName val="Summary"/>
      <sheetName val="I-rateperdistance_unadj"/>
      <sheetName val="I-AgeDistribution"/>
      <sheetName val="I-VehicleWeights"/>
      <sheetName val="C-Motorcycles(1)"/>
      <sheetName val="C-PassCars(2)"/>
      <sheetName val="C-LightTrucks(31)"/>
      <sheetName val="C-LightTrucks(32)"/>
      <sheetName val="C-Buses(4)"/>
      <sheetName val="C-SingleUnitTrucks(5)"/>
      <sheetName val="C-CombTrucks(6)"/>
      <sheetName val="C-AdjFactors"/>
      <sheetName val="C-rateperdistance_adjusted"/>
    </sheetNames>
    <sheetDataSet>
      <sheetData sheetId="0"/>
      <sheetData sheetId="1">
        <row r="2">
          <cell r="C2" t="str">
            <v>Baseline</v>
          </cell>
        </row>
        <row r="3">
          <cell r="C3" t="str">
            <v>AltBaselineLDV</v>
          </cell>
        </row>
        <row r="4">
          <cell r="C4" t="str">
            <v>Custom 1</v>
          </cell>
        </row>
      </sheetData>
      <sheetData sheetId="2"/>
      <sheetData sheetId="3">
        <row r="10">
          <cell r="R10">
            <v>4.6129624845241045E-2</v>
          </cell>
        </row>
      </sheetData>
      <sheetData sheetId="4"/>
      <sheetData sheetId="5"/>
      <sheetData sheetId="6"/>
      <sheetData sheetId="7"/>
      <sheetData sheetId="8"/>
      <sheetData sheetId="9"/>
      <sheetData sheetId="10"/>
      <sheetData sheetId="11"/>
      <sheetData sheetId="12"/>
      <sheetData sheetId="13"/>
      <sheetData sheetId="14"/>
      <sheetData sheetId="15">
        <row r="10">
          <cell r="R10">
            <v>4.6129624845241045E-2</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the Spreadsheet Tabs"/>
      <sheetName val="Benefit-Cost Analysis @3%"/>
      <sheetName val="Benefit-Cost Analysis @7%"/>
      <sheetName val="BenefitSummary"/>
      <sheetName val="Costs Summary "/>
      <sheetName val="O&amp;M"/>
      <sheetName val="TravelTimeSavings"/>
      <sheetName val="VOC"/>
      <sheetName val="CrashCostVMT"/>
      <sheetName val="Emissions"/>
      <sheetName val="HealthBenefits"/>
      <sheetName val="ModeShift"/>
      <sheetName val="SOGRRedn Calcns"/>
      <sheetName val="TrackRelocation"/>
      <sheetName val="JobCreation"/>
      <sheetName val="Rates - Single"/>
      <sheetName val="KABCO-AIS Conv Matrix"/>
      <sheetName val="AVO"/>
      <sheetName val="HealthData"/>
      <sheetName val="Pavement,NoiseMarginalCost "/>
      <sheetName val="EmissRates MOVES2014"/>
      <sheetName val="VOC "/>
      <sheetName val="EmissRates(EPA)"/>
      <sheetName val="Rail Relocation"/>
      <sheetName val="Fuel Prices ($ per gal)"/>
      <sheetName val="CPI Factors"/>
      <sheetName val="Traffic Volumes"/>
      <sheetName val="TDM Data"/>
      <sheetName val="TDM Summary"/>
      <sheetName val="TravelTimeCost-NotU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70">
          <cell r="C70">
            <v>172.2</v>
          </cell>
        </row>
        <row r="85">
          <cell r="C85">
            <v>237.017</v>
          </cell>
        </row>
      </sheetData>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atri-online.org/wp-content/uploads/2015/09/ATRI-Operational-Costs-of-Trucking-2015-FINAL-09-2015.pdf" TargetMode="External"/><Relationship Id="rId1" Type="http://schemas.openxmlformats.org/officeDocument/2006/relationships/hyperlink" Target="http://exchange.aaa.com/automobiles-travel/automobiles/driving-cos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fhwa.dot.gov/policy/hcas/final/five.cfm"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sheetPr>
  <dimension ref="B2:B36"/>
  <sheetViews>
    <sheetView showGridLines="0" zoomScale="85" zoomScaleNormal="85" workbookViewId="0">
      <selection activeCell="B17" sqref="B17"/>
    </sheetView>
  </sheetViews>
  <sheetFormatPr defaultRowHeight="12.75" x14ac:dyDescent="0.25"/>
  <cols>
    <col min="1" max="1" width="6.42578125" style="74" customWidth="1"/>
    <col min="2" max="2" width="80.7109375" style="74" customWidth="1"/>
    <col min="3" max="3" width="8.5703125" style="74" customWidth="1"/>
    <col min="4" max="16384" width="9.140625" style="74"/>
  </cols>
  <sheetData>
    <row r="2" spans="2:2" ht="26.25" x14ac:dyDescent="0.25">
      <c r="B2" s="189" t="s">
        <v>83</v>
      </c>
    </row>
    <row r="3" spans="2:2" ht="18" x14ac:dyDescent="0.25">
      <c r="B3" s="182" t="s">
        <v>647</v>
      </c>
    </row>
    <row r="4" spans="2:2" x14ac:dyDescent="0.25">
      <c r="B4" s="93"/>
    </row>
    <row r="5" spans="2:2" ht="13.5" thickBot="1" x14ac:dyDescent="0.3">
      <c r="B5" s="93"/>
    </row>
    <row r="6" spans="2:2" ht="13.5" thickBot="1" x14ac:dyDescent="0.3">
      <c r="B6" s="177" t="s">
        <v>50</v>
      </c>
    </row>
    <row r="7" spans="2:2" s="166" customFormat="1" ht="39" thickBot="1" x14ac:dyDescent="0.3">
      <c r="B7" s="178" t="s">
        <v>693</v>
      </c>
    </row>
    <row r="8" spans="2:2" s="166" customFormat="1" ht="13.5" thickBot="1" x14ac:dyDescent="0.3"/>
    <row r="9" spans="2:2" s="166" customFormat="1" ht="13.5" thickBot="1" x14ac:dyDescent="0.3">
      <c r="B9" s="179" t="s">
        <v>43</v>
      </c>
    </row>
    <row r="10" spans="2:2" s="166" customFormat="1" ht="38.25" x14ac:dyDescent="0.25">
      <c r="B10" s="167" t="s">
        <v>39</v>
      </c>
    </row>
    <row r="11" spans="2:2" s="166" customFormat="1" x14ac:dyDescent="0.25">
      <c r="B11" s="168" t="s">
        <v>470</v>
      </c>
    </row>
    <row r="12" spans="2:2" s="166" customFormat="1" x14ac:dyDescent="0.25">
      <c r="B12" s="168" t="s">
        <v>471</v>
      </c>
    </row>
    <row r="13" spans="2:2" s="166" customFormat="1" ht="13.5" thickBot="1" x14ac:dyDescent="0.3">
      <c r="B13" s="169" t="s">
        <v>472</v>
      </c>
    </row>
    <row r="14" spans="2:2" s="166" customFormat="1" ht="13.5" thickBot="1" x14ac:dyDescent="0.3"/>
    <row r="15" spans="2:2" s="166" customFormat="1" ht="13.5" thickBot="1" x14ac:dyDescent="0.3">
      <c r="B15" s="180" t="s">
        <v>40</v>
      </c>
    </row>
    <row r="16" spans="2:2" s="166" customFormat="1" ht="13.5" thickBot="1" x14ac:dyDescent="0.3">
      <c r="B16" s="170" t="s">
        <v>694</v>
      </c>
    </row>
    <row r="17" spans="2:2" s="166" customFormat="1" ht="13.5" thickBot="1" x14ac:dyDescent="0.3">
      <c r="B17" s="171"/>
    </row>
    <row r="18" spans="2:2" s="166" customFormat="1" ht="13.5" thickBot="1" x14ac:dyDescent="0.3">
      <c r="B18" s="179" t="s">
        <v>41</v>
      </c>
    </row>
    <row r="19" spans="2:2" s="166" customFormat="1" ht="26.25" thickBot="1" x14ac:dyDescent="0.3">
      <c r="B19" s="172" t="s">
        <v>695</v>
      </c>
    </row>
    <row r="20" spans="2:2" s="166" customFormat="1" ht="13.5" thickBot="1" x14ac:dyDescent="0.3">
      <c r="B20" s="171"/>
    </row>
    <row r="21" spans="2:2" s="166" customFormat="1" ht="13.5" thickBot="1" x14ac:dyDescent="0.3">
      <c r="B21" s="181" t="s">
        <v>42</v>
      </c>
    </row>
    <row r="22" spans="2:2" s="166" customFormat="1" ht="25.5" x14ac:dyDescent="0.25">
      <c r="B22" s="173" t="s">
        <v>696</v>
      </c>
    </row>
    <row r="23" spans="2:2" s="166" customFormat="1" ht="51" x14ac:dyDescent="0.25">
      <c r="B23" s="174" t="s">
        <v>697</v>
      </c>
    </row>
    <row r="24" spans="2:2" s="166" customFormat="1" ht="39" thickBot="1" x14ac:dyDescent="0.3">
      <c r="B24" s="175" t="s">
        <v>698</v>
      </c>
    </row>
    <row r="25" spans="2:2" s="166" customFormat="1" ht="13.5" thickBot="1" x14ac:dyDescent="0.3">
      <c r="B25" s="171"/>
    </row>
    <row r="26" spans="2:2" s="166" customFormat="1" ht="13.5" thickBot="1" x14ac:dyDescent="0.3">
      <c r="B26" s="179" t="s">
        <v>29</v>
      </c>
    </row>
    <row r="27" spans="2:2" s="166" customFormat="1" ht="38.25" x14ac:dyDescent="0.25">
      <c r="B27" s="167" t="s">
        <v>699</v>
      </c>
    </row>
    <row r="28" spans="2:2" s="166" customFormat="1" x14ac:dyDescent="0.25">
      <c r="B28" s="168" t="s">
        <v>44</v>
      </c>
    </row>
    <row r="29" spans="2:2" s="166" customFormat="1" x14ac:dyDescent="0.25">
      <c r="B29" s="168" t="s">
        <v>45</v>
      </c>
    </row>
    <row r="30" spans="2:2" s="166" customFormat="1" x14ac:dyDescent="0.25">
      <c r="B30" s="168" t="s">
        <v>46</v>
      </c>
    </row>
    <row r="31" spans="2:2" s="166" customFormat="1" x14ac:dyDescent="0.25">
      <c r="B31" s="168" t="s">
        <v>473</v>
      </c>
    </row>
    <row r="32" spans="2:2" s="166" customFormat="1" x14ac:dyDescent="0.25">
      <c r="B32" s="168" t="s">
        <v>474</v>
      </c>
    </row>
    <row r="33" spans="2:2" s="166" customFormat="1" x14ac:dyDescent="0.25">
      <c r="B33" s="168" t="s">
        <v>47</v>
      </c>
    </row>
    <row r="34" spans="2:2" s="166" customFormat="1" ht="13.5" thickBot="1" x14ac:dyDescent="0.3">
      <c r="B34" s="169" t="s">
        <v>701</v>
      </c>
    </row>
    <row r="35" spans="2:2" s="166" customFormat="1" x14ac:dyDescent="0.25">
      <c r="B35" s="166" t="s">
        <v>475</v>
      </c>
    </row>
    <row r="36" spans="2:2" s="166" customFormat="1" x14ac:dyDescent="0.25">
      <c r="B36" s="176"/>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AD54"/>
  <sheetViews>
    <sheetView showGridLines="0" zoomScale="80" zoomScaleNormal="80" workbookViewId="0">
      <selection activeCell="E15" sqref="E15"/>
    </sheetView>
  </sheetViews>
  <sheetFormatPr defaultRowHeight="12.75" x14ac:dyDescent="0.25"/>
  <cols>
    <col min="1" max="1" width="3.5703125" style="391" customWidth="1"/>
    <col min="2" max="2" width="28.5703125" style="391" customWidth="1"/>
    <col min="3" max="3" width="18.42578125" style="391" customWidth="1"/>
    <col min="4" max="4" width="16.28515625" style="391" customWidth="1"/>
    <col min="5" max="5" width="13.5703125" style="391" customWidth="1"/>
    <col min="6" max="8" width="12.7109375" style="391" customWidth="1"/>
    <col min="9" max="11" width="16" style="391" customWidth="1"/>
    <col min="12" max="14" width="12.7109375" style="391" customWidth="1"/>
    <col min="15" max="15" width="15.42578125" style="391" customWidth="1"/>
    <col min="16" max="22" width="12.7109375" style="391" customWidth="1"/>
    <col min="23" max="23" width="2.7109375" style="391" customWidth="1"/>
    <col min="24" max="44" width="15.7109375" style="391" customWidth="1"/>
    <col min="45" max="45" width="4.140625" style="391" customWidth="1"/>
    <col min="46" max="66" width="15.7109375" style="391" customWidth="1"/>
    <col min="67" max="16384" width="9.140625" style="391"/>
  </cols>
  <sheetData>
    <row r="2" spans="2:30" ht="18.75" x14ac:dyDescent="0.25">
      <c r="B2" s="1011" t="str">
        <f>'About the Spreadsheet Tabs'!$B$3</f>
        <v>Benefit-Cost Assessment Spreadsheet for Access I-95: Driving Baltimore's City Development</v>
      </c>
    </row>
    <row r="3" spans="2:30" ht="18.75" x14ac:dyDescent="0.25">
      <c r="B3" s="1011" t="s">
        <v>657</v>
      </c>
    </row>
    <row r="4" spans="2:30" ht="51.75" customHeight="1" x14ac:dyDescent="0.25">
      <c r="B4" s="1222" t="s">
        <v>716</v>
      </c>
      <c r="C4" s="1222"/>
      <c r="D4" s="1222"/>
      <c r="E4" s="1222"/>
      <c r="F4" s="1222"/>
    </row>
    <row r="5" spans="2:30" ht="18.75" customHeight="1" x14ac:dyDescent="0.25">
      <c r="E5" s="750"/>
      <c r="F5" s="750"/>
      <c r="G5" s="750"/>
      <c r="H5" s="750"/>
      <c r="I5" s="750"/>
      <c r="J5" s="750"/>
      <c r="K5" s="750"/>
      <c r="L5" s="750"/>
      <c r="M5" s="750"/>
      <c r="N5" s="392"/>
      <c r="O5" s="392"/>
      <c r="P5" s="392"/>
      <c r="Q5" s="392"/>
      <c r="R5" s="392"/>
      <c r="S5" s="392"/>
      <c r="T5" s="392"/>
      <c r="U5" s="392"/>
      <c r="V5" s="392"/>
      <c r="W5" s="392"/>
      <c r="X5" s="392"/>
      <c r="Y5" s="392"/>
      <c r="Z5" s="392"/>
      <c r="AA5" s="392"/>
      <c r="AB5" s="392"/>
      <c r="AC5" s="392"/>
      <c r="AD5" s="392"/>
    </row>
    <row r="6" spans="2:30" ht="48.75" customHeight="1" x14ac:dyDescent="0.25">
      <c r="B6" s="969" t="s">
        <v>7</v>
      </c>
      <c r="C6" s="1026" t="s">
        <v>668</v>
      </c>
      <c r="D6" s="1026" t="s">
        <v>669</v>
      </c>
      <c r="E6" s="1026" t="s">
        <v>640</v>
      </c>
      <c r="F6" s="1026" t="s">
        <v>641</v>
      </c>
    </row>
    <row r="7" spans="2:30" ht="15" x14ac:dyDescent="0.25">
      <c r="B7" s="1017">
        <v>2015</v>
      </c>
      <c r="C7" s="1018">
        <f>SUM('Volumes (Project Site)'!C12:D12)</f>
        <v>19311249.437655929</v>
      </c>
      <c r="D7" s="1028" t="s">
        <v>643</v>
      </c>
      <c r="E7" s="1028" t="s">
        <v>643</v>
      </c>
      <c r="F7" s="1028" t="s">
        <v>643</v>
      </c>
    </row>
    <row r="8" spans="2:30" ht="15" x14ac:dyDescent="0.25">
      <c r="B8" s="1017">
        <v>2016</v>
      </c>
      <c r="C8" s="1018">
        <f>SUM('Volumes (Project Site)'!C13:D13)</f>
        <v>20010920.122129064</v>
      </c>
      <c r="D8" s="1028" t="s">
        <v>643</v>
      </c>
      <c r="E8" s="1028" t="s">
        <v>643</v>
      </c>
      <c r="F8" s="1028" t="s">
        <v>643</v>
      </c>
    </row>
    <row r="9" spans="2:30" ht="15" x14ac:dyDescent="0.25">
      <c r="B9" s="1017">
        <v>2017</v>
      </c>
      <c r="C9" s="1018">
        <f>SUM('Volumes (Project Site)'!C14:D14)</f>
        <v>20710590.806602202</v>
      </c>
      <c r="D9" s="1028" t="s">
        <v>643</v>
      </c>
      <c r="E9" s="1028" t="s">
        <v>643</v>
      </c>
      <c r="F9" s="1028" t="s">
        <v>643</v>
      </c>
    </row>
    <row r="10" spans="2:30" ht="15" x14ac:dyDescent="0.25">
      <c r="B10" s="1017">
        <v>2018</v>
      </c>
      <c r="C10" s="1018">
        <f>SUM('Volumes (Project Site)'!C15:D15)</f>
        <v>21410261.491075337</v>
      </c>
      <c r="D10" s="1028" t="s">
        <v>643</v>
      </c>
      <c r="E10" s="1028" t="s">
        <v>643</v>
      </c>
      <c r="F10" s="1028" t="s">
        <v>643</v>
      </c>
    </row>
    <row r="11" spans="2:30" ht="15" x14ac:dyDescent="0.25">
      <c r="B11" s="1017">
        <v>2019</v>
      </c>
      <c r="C11" s="1018">
        <f>SUM('Volumes (Project Site)'!C16:D16)</f>
        <v>22109932.175548472</v>
      </c>
      <c r="D11" s="1028" t="s">
        <v>643</v>
      </c>
      <c r="E11" s="1028" t="s">
        <v>643</v>
      </c>
      <c r="F11" s="1028" t="s">
        <v>643</v>
      </c>
    </row>
    <row r="12" spans="2:30" ht="15" x14ac:dyDescent="0.25">
      <c r="B12" s="1017">
        <v>2020</v>
      </c>
      <c r="C12" s="1018">
        <f>SUM('Volumes (Project Site)'!C17:D17)</f>
        <v>22809602.86002161</v>
      </c>
      <c r="D12" s="1028" t="s">
        <v>643</v>
      </c>
      <c r="E12" s="1028" t="s">
        <v>643</v>
      </c>
      <c r="F12" s="1028" t="s">
        <v>643</v>
      </c>
      <c r="H12" s="391" t="s">
        <v>475</v>
      </c>
    </row>
    <row r="13" spans="2:30" ht="15" x14ac:dyDescent="0.25">
      <c r="B13" s="1017">
        <v>2021</v>
      </c>
      <c r="C13" s="1018">
        <f>SUM('Volumes (Project Site)'!C18:D18)</f>
        <v>23509273.544494744</v>
      </c>
      <c r="D13" s="1028" t="s">
        <v>643</v>
      </c>
      <c r="E13" s="1028" t="s">
        <v>643</v>
      </c>
      <c r="F13" s="1028" t="s">
        <v>643</v>
      </c>
    </row>
    <row r="14" spans="2:30" ht="15" x14ac:dyDescent="0.25">
      <c r="B14" s="1017">
        <v>2022</v>
      </c>
      <c r="C14" s="1018">
        <f>SUM('Volumes (Project Site)'!C19:D19)</f>
        <v>24208944.228967883</v>
      </c>
      <c r="D14" s="1018">
        <f>C14*'Rates - Single'!$C$204</f>
        <v>2529292.6806384358</v>
      </c>
      <c r="E14" s="1018">
        <f>D14*'Rates - Single'!$C$205</f>
        <v>758787.80419153068</v>
      </c>
      <c r="F14" s="1028">
        <f>E14*'Rates - Single'!$C$206</f>
        <v>379393.90209576534</v>
      </c>
    </row>
    <row r="15" spans="2:30" ht="15" x14ac:dyDescent="0.25">
      <c r="B15" s="1017">
        <v>2023</v>
      </c>
      <c r="C15" s="1018">
        <f>SUM('Volumes (Project Site)'!C20:D20)</f>
        <v>24908614.913441017</v>
      </c>
      <c r="D15" s="1018">
        <f>C15*'Rates - Single'!$C$204</f>
        <v>2602392.6028968231</v>
      </c>
      <c r="E15" s="1018">
        <f>D15*'Rates - Single'!$C$205</f>
        <v>780717.78086904692</v>
      </c>
      <c r="F15" s="1028">
        <f>E15*'Rates - Single'!$C$206</f>
        <v>390358.89043452346</v>
      </c>
    </row>
    <row r="16" spans="2:30" ht="15" x14ac:dyDescent="0.25">
      <c r="B16" s="1017">
        <v>2024</v>
      </c>
      <c r="C16" s="1018">
        <f>SUM('Volumes (Project Site)'!C21:D21)</f>
        <v>25608285.597914152</v>
      </c>
      <c r="D16" s="1018">
        <f>C16*'Rates - Single'!$C$204</f>
        <v>2675492.5251552099</v>
      </c>
      <c r="E16" s="1018">
        <f>D16*'Rates - Single'!$C$205</f>
        <v>802647.75754656293</v>
      </c>
      <c r="F16" s="1028">
        <f>E16*'Rates - Single'!$C$206</f>
        <v>401323.87877328147</v>
      </c>
      <c r="I16" s="391" t="s">
        <v>475</v>
      </c>
    </row>
    <row r="17" spans="2:10" ht="15" x14ac:dyDescent="0.25">
      <c r="B17" s="1017">
        <v>2025</v>
      </c>
      <c r="C17" s="1018">
        <f>SUM('Volumes (Project Site)'!C22:D22)</f>
        <v>26307956.28238729</v>
      </c>
      <c r="D17" s="1018">
        <f>C17*'Rates - Single'!$C$204</f>
        <v>2748592.4474135977</v>
      </c>
      <c r="E17" s="1018">
        <f>D17*'Rates - Single'!$C$205</f>
        <v>824577.73422407929</v>
      </c>
      <c r="F17" s="1028">
        <f>E17*'Rates - Single'!$C$206</f>
        <v>412288.86711203965</v>
      </c>
      <c r="I17" s="391" t="s">
        <v>475</v>
      </c>
    </row>
    <row r="18" spans="2:10" ht="15" x14ac:dyDescent="0.25">
      <c r="B18" s="1017">
        <v>2026</v>
      </c>
      <c r="C18" s="1018">
        <f>SUM('Volumes (Project Site)'!C23:D23)</f>
        <v>27007626.966860425</v>
      </c>
      <c r="D18" s="1018">
        <f>C18*'Rates - Single'!$C$204</f>
        <v>2821692.369671985</v>
      </c>
      <c r="E18" s="1018">
        <f>D18*'Rates - Single'!$C$205</f>
        <v>846507.71090159554</v>
      </c>
      <c r="F18" s="1028">
        <f>E18*'Rates - Single'!$C$206</f>
        <v>423253.85545079777</v>
      </c>
      <c r="H18" s="391" t="s">
        <v>475</v>
      </c>
    </row>
    <row r="19" spans="2:10" ht="15" x14ac:dyDescent="0.25">
      <c r="B19" s="1017">
        <v>2027</v>
      </c>
      <c r="C19" s="1018">
        <f>SUM('Volumes (Project Site)'!C24:D24)</f>
        <v>27707297.651333563</v>
      </c>
      <c r="D19" s="1018">
        <f>C19*'Rates - Single'!$C$204</f>
        <v>2894792.2919303724</v>
      </c>
      <c r="E19" s="1018">
        <f>D19*'Rates - Single'!$C$205</f>
        <v>868437.68757911166</v>
      </c>
      <c r="F19" s="1028">
        <f>E19*'Rates - Single'!$C$206</f>
        <v>434218.84378955583</v>
      </c>
    </row>
    <row r="20" spans="2:10" ht="15" x14ac:dyDescent="0.25">
      <c r="B20" s="1017">
        <v>2028</v>
      </c>
      <c r="C20" s="1018">
        <f>SUM('Volumes (Project Site)'!C25:D25)</f>
        <v>28406968.335806698</v>
      </c>
      <c r="D20" s="1018">
        <f>C20*'Rates - Single'!$C$204</f>
        <v>2967892.2141887597</v>
      </c>
      <c r="E20" s="1018">
        <f>D20*'Rates - Single'!$C$205</f>
        <v>890367.6642566279</v>
      </c>
      <c r="F20" s="1028">
        <f>E20*'Rates - Single'!$C$206</f>
        <v>445183.83212831395</v>
      </c>
    </row>
    <row r="21" spans="2:10" ht="15" x14ac:dyDescent="0.25">
      <c r="B21" s="1017">
        <v>2029</v>
      </c>
      <c r="C21" s="1018">
        <f>SUM('Volumes (Project Site)'!C26:D26)</f>
        <v>29106639.020279832</v>
      </c>
      <c r="D21" s="1018">
        <f>C21*'Rates - Single'!$C$204</f>
        <v>3040992.136447147</v>
      </c>
      <c r="E21" s="1018">
        <f>D21*'Rates - Single'!$C$205</f>
        <v>912297.64093414403</v>
      </c>
      <c r="F21" s="1028">
        <f>E21*'Rates - Single'!$C$206</f>
        <v>456148.82046707202</v>
      </c>
      <c r="I21" s="391" t="s">
        <v>475</v>
      </c>
    </row>
    <row r="22" spans="2:10" ht="15" x14ac:dyDescent="0.25">
      <c r="B22" s="1017">
        <v>2030</v>
      </c>
      <c r="C22" s="1018">
        <f>SUM('Volumes (Project Site)'!C27:D27)</f>
        <v>29806309.70475297</v>
      </c>
      <c r="D22" s="1018">
        <f>C22*'Rates - Single'!$C$204</f>
        <v>3114092.0587055343</v>
      </c>
      <c r="E22" s="1018">
        <f>D22*'Rates - Single'!$C$205</f>
        <v>934227.61761166027</v>
      </c>
      <c r="F22" s="1028">
        <f>E22*'Rates - Single'!$C$206</f>
        <v>467113.80880583014</v>
      </c>
    </row>
    <row r="23" spans="2:10" ht="15" x14ac:dyDescent="0.25">
      <c r="B23" s="1017">
        <v>2031</v>
      </c>
      <c r="C23" s="1018">
        <f>SUM('Volumes (Project Site)'!C28:D28)</f>
        <v>30505980.389226105</v>
      </c>
      <c r="D23" s="1018">
        <f>C23*'Rates - Single'!$C$204</f>
        <v>3187191.9809639216</v>
      </c>
      <c r="E23" s="1018">
        <f>D23*'Rates - Single'!$C$205</f>
        <v>956157.5942891764</v>
      </c>
      <c r="F23" s="1028">
        <f>E23*'Rates - Single'!$C$206</f>
        <v>478078.7971445882</v>
      </c>
      <c r="J23" s="391" t="s">
        <v>475</v>
      </c>
    </row>
    <row r="24" spans="2:10" ht="15" x14ac:dyDescent="0.25">
      <c r="B24" s="1017">
        <v>2032</v>
      </c>
      <c r="C24" s="1018">
        <f>SUM('Volumes (Project Site)'!C29:D29)</f>
        <v>31205651.07369924</v>
      </c>
      <c r="D24" s="1018">
        <f>C24*'Rates - Single'!$C$204</f>
        <v>3260291.903222309</v>
      </c>
      <c r="E24" s="1018">
        <f>D24*'Rates - Single'!$C$205</f>
        <v>978087.57096669264</v>
      </c>
      <c r="F24" s="1028">
        <f>E24*'Rates - Single'!$C$206</f>
        <v>489043.78548334632</v>
      </c>
    </row>
    <row r="25" spans="2:10" ht="15" x14ac:dyDescent="0.25">
      <c r="B25" s="1017">
        <v>2033</v>
      </c>
      <c r="C25" s="1018">
        <f>SUM('Volumes (Project Site)'!C30:D30)</f>
        <v>31905321.758172378</v>
      </c>
      <c r="D25" s="1018">
        <f>C25*'Rates - Single'!$C$204</f>
        <v>3333391.8254806967</v>
      </c>
      <c r="E25" s="1018">
        <f>D25*'Rates - Single'!$C$205</f>
        <v>1000017.547644209</v>
      </c>
      <c r="F25" s="1028">
        <f>E25*'Rates - Single'!$C$206</f>
        <v>500008.7738221045</v>
      </c>
    </row>
    <row r="26" spans="2:10" ht="15" x14ac:dyDescent="0.25">
      <c r="B26" s="1017">
        <v>2034</v>
      </c>
      <c r="C26" s="1018">
        <f>SUM('Volumes (Project Site)'!C31:D31)</f>
        <v>32604992.442645513</v>
      </c>
      <c r="D26" s="1018">
        <f>C26*'Rates - Single'!$C$204</f>
        <v>3406491.7477390836</v>
      </c>
      <c r="E26" s="1018">
        <f>D26*'Rates - Single'!$C$205</f>
        <v>1021947.524321725</v>
      </c>
      <c r="F26" s="1028">
        <f>E26*'Rates - Single'!$C$206</f>
        <v>510973.7621608625</v>
      </c>
    </row>
    <row r="27" spans="2:10" ht="15" x14ac:dyDescent="0.25">
      <c r="B27" s="1017">
        <v>2035</v>
      </c>
      <c r="C27" s="1018">
        <f>SUM('Volumes (Project Site)'!C32:D32)</f>
        <v>33304663.127118647</v>
      </c>
      <c r="D27" s="1018">
        <f>C27*'Rates - Single'!$C$204</f>
        <v>3479591.6699974709</v>
      </c>
      <c r="E27" s="1018">
        <f>D27*'Rates - Single'!$C$205</f>
        <v>1043877.5009992413</v>
      </c>
      <c r="F27" s="1028">
        <f>E27*'Rates - Single'!$C$206</f>
        <v>521938.75049962063</v>
      </c>
    </row>
    <row r="28" spans="2:10" ht="15" x14ac:dyDescent="0.25">
      <c r="B28" s="1017">
        <v>2036</v>
      </c>
      <c r="C28" s="1018">
        <f>SUM('Volumes (Project Site)'!C33:D33)</f>
        <v>34004333.811591782</v>
      </c>
      <c r="D28" s="1018">
        <f>C28*'Rates - Single'!$C$204</f>
        <v>3552691.5922558582</v>
      </c>
      <c r="E28" s="1018">
        <f>D28*'Rates - Single'!$C$205</f>
        <v>1065807.4776767574</v>
      </c>
      <c r="F28" s="1028">
        <f>E28*'Rates - Single'!$C$206</f>
        <v>532903.73883837869</v>
      </c>
    </row>
    <row r="29" spans="2:10" ht="15" x14ac:dyDescent="0.25">
      <c r="B29" s="1017">
        <v>2037</v>
      </c>
      <c r="C29" s="1018">
        <f>SUM('Volumes (Project Site)'!C34:D34)</f>
        <v>34704004.496064916</v>
      </c>
      <c r="D29" s="1018">
        <f>C29*'Rates - Single'!$C$204</f>
        <v>3625791.5145142456</v>
      </c>
      <c r="E29" s="1018">
        <f>D29*'Rates - Single'!$C$205</f>
        <v>1087737.4543542736</v>
      </c>
      <c r="F29" s="1028">
        <f>E29*'Rates - Single'!$C$206</f>
        <v>543868.72717713681</v>
      </c>
    </row>
    <row r="30" spans="2:10" ht="15" x14ac:dyDescent="0.25">
      <c r="B30" s="1017">
        <v>2038</v>
      </c>
      <c r="C30" s="1018">
        <f>SUM('Volumes (Project Site)'!C35:D35)</f>
        <v>35403675.180538058</v>
      </c>
      <c r="D30" s="1018">
        <f>C30*'Rates - Single'!$C$204</f>
        <v>3698891.4367726333</v>
      </c>
      <c r="E30" s="1018">
        <f>D30*'Rates - Single'!$C$205</f>
        <v>1109667.4310317899</v>
      </c>
      <c r="F30" s="1028">
        <f>E30*'Rates - Single'!$C$206</f>
        <v>554833.71551589493</v>
      </c>
    </row>
    <row r="31" spans="2:10" ht="15" x14ac:dyDescent="0.25">
      <c r="B31" s="1017">
        <v>2039</v>
      </c>
      <c r="C31" s="1018">
        <f>SUM('Volumes (Project Site)'!C36:D36)</f>
        <v>36103345.865011193</v>
      </c>
      <c r="D31" s="1018">
        <f>C31*'Rates - Single'!$C$204</f>
        <v>3771991.3590310207</v>
      </c>
      <c r="E31" s="1018">
        <f>D31*'Rates - Single'!$C$205</f>
        <v>1131597.4077093061</v>
      </c>
      <c r="F31" s="1028">
        <f>E31*'Rates - Single'!$C$206</f>
        <v>565798.70385465305</v>
      </c>
    </row>
    <row r="32" spans="2:10" ht="15" x14ac:dyDescent="0.25">
      <c r="B32" s="1017">
        <v>2040</v>
      </c>
      <c r="C32" s="1018">
        <f>SUM('Volumes (Project Site)'!C37:D37)</f>
        <v>36803016.54948432</v>
      </c>
      <c r="D32" s="1018">
        <f>C32*'Rates - Single'!$C$204</f>
        <v>3845091.2812894071</v>
      </c>
      <c r="E32" s="1018">
        <f>D32*'Rates - Single'!$C$205</f>
        <v>1153527.3843868221</v>
      </c>
      <c r="F32" s="1028">
        <f>E32*'Rates - Single'!$C$206</f>
        <v>576763.69219341106</v>
      </c>
      <c r="H32" s="391" t="s">
        <v>475</v>
      </c>
    </row>
    <row r="33" spans="2:10" ht="15" x14ac:dyDescent="0.25">
      <c r="B33" s="1017">
        <v>2041</v>
      </c>
      <c r="C33" s="1018">
        <f>SUM('Volumes (Project Site)'!C38:D38)</f>
        <v>36803016.54948432</v>
      </c>
      <c r="D33" s="1018">
        <f>C33*'Rates - Single'!$C$204</f>
        <v>3845091.2812894071</v>
      </c>
      <c r="E33" s="1018">
        <f>D33*'Rates - Single'!$C$205</f>
        <v>1153527.3843868221</v>
      </c>
      <c r="F33" s="1028">
        <f>E33*'Rates - Single'!$C$206</f>
        <v>576763.69219341106</v>
      </c>
    </row>
    <row r="34" spans="2:10" ht="15" x14ac:dyDescent="0.25">
      <c r="B34" s="1017">
        <v>2042</v>
      </c>
      <c r="C34" s="1018">
        <f>SUM('Volumes (Project Site)'!C39:D39)</f>
        <v>36803016.54948432</v>
      </c>
      <c r="D34" s="1018">
        <f>C34*'Rates - Single'!$C$204</f>
        <v>3845091.2812894071</v>
      </c>
      <c r="E34" s="1018">
        <f>D34*'Rates - Single'!$C$205</f>
        <v>1153527.3843868221</v>
      </c>
      <c r="F34" s="1028">
        <f>E34*'Rates - Single'!$C$206</f>
        <v>576763.69219341106</v>
      </c>
    </row>
    <row r="35" spans="2:10" ht="15" x14ac:dyDescent="0.25">
      <c r="B35" s="1017">
        <v>2043</v>
      </c>
      <c r="C35" s="1018">
        <f>SUM('Volumes (Project Site)'!C40:D40)</f>
        <v>36803016.54948432</v>
      </c>
      <c r="D35" s="1018">
        <f>C35*'Rates - Single'!$C$204</f>
        <v>3845091.2812894071</v>
      </c>
      <c r="E35" s="1018">
        <f>D35*'Rates - Single'!$C$205</f>
        <v>1153527.3843868221</v>
      </c>
      <c r="F35" s="1028">
        <f>E35*'Rates - Single'!$C$206</f>
        <v>576763.69219341106</v>
      </c>
      <c r="G35" s="688"/>
      <c r="H35" s="688"/>
      <c r="I35" s="688"/>
      <c r="J35" s="688"/>
    </row>
    <row r="36" spans="2:10" ht="15" x14ac:dyDescent="0.25">
      <c r="B36" s="1017">
        <v>2044</v>
      </c>
      <c r="C36" s="1018">
        <f>SUM('Volumes (Project Site)'!C41:D41)</f>
        <v>36803016.54948432</v>
      </c>
      <c r="D36" s="1018">
        <f>C36*'Rates - Single'!$C$204</f>
        <v>3845091.2812894071</v>
      </c>
      <c r="E36" s="1018">
        <f>D36*'Rates - Single'!$C$205</f>
        <v>1153527.3843868221</v>
      </c>
      <c r="F36" s="1028">
        <f>E36*'Rates - Single'!$C$206</f>
        <v>576763.69219341106</v>
      </c>
    </row>
    <row r="37" spans="2:10" ht="15" x14ac:dyDescent="0.25">
      <c r="B37" s="1017">
        <v>2045</v>
      </c>
      <c r="C37" s="1018">
        <f>SUM('Volumes (Project Site)'!C42:D42)</f>
        <v>36803016.54948432</v>
      </c>
      <c r="D37" s="1018">
        <f>C37*'Rates - Single'!$C$204</f>
        <v>3845091.2812894071</v>
      </c>
      <c r="E37" s="1018">
        <f>D37*'Rates - Single'!$C$205</f>
        <v>1153527.3843868221</v>
      </c>
      <c r="F37" s="1028">
        <f>E37*'Rates - Single'!$C$206</f>
        <v>576763.69219341106</v>
      </c>
    </row>
    <row r="38" spans="2:10" ht="15" x14ac:dyDescent="0.25">
      <c r="B38" s="1017">
        <v>2046</v>
      </c>
      <c r="C38" s="1018">
        <f>SUM('Volumes (Project Site)'!C43:D43)</f>
        <v>36803016.54948432</v>
      </c>
      <c r="D38" s="1018">
        <f>C38*'Rates - Single'!$C$204</f>
        <v>3845091.2812894071</v>
      </c>
      <c r="E38" s="1018">
        <f>D38*'Rates - Single'!$C$205</f>
        <v>1153527.3843868221</v>
      </c>
      <c r="F38" s="1028">
        <f>E38*'Rates - Single'!$C$206</f>
        <v>576763.69219341106</v>
      </c>
    </row>
    <row r="39" spans="2:10" ht="15" x14ac:dyDescent="0.25">
      <c r="B39" s="1017">
        <v>2047</v>
      </c>
      <c r="C39" s="1018">
        <f>SUM('Volumes (Project Site)'!C44:D44)</f>
        <v>36803016.54948432</v>
      </c>
      <c r="D39" s="1018">
        <f>C39*'Rates - Single'!$C$204</f>
        <v>3845091.2812894071</v>
      </c>
      <c r="E39" s="1018">
        <f>D39*'Rates - Single'!$C$205</f>
        <v>1153527.3843868221</v>
      </c>
      <c r="F39" s="1028">
        <f>E39*'Rates - Single'!$C$206</f>
        <v>576763.69219341106</v>
      </c>
    </row>
    <row r="40" spans="2:10" ht="15" x14ac:dyDescent="0.25">
      <c r="B40" s="1017">
        <v>2048</v>
      </c>
      <c r="C40" s="1018">
        <f>SUM('Volumes (Project Site)'!C45:D45)</f>
        <v>36803016.54948432</v>
      </c>
      <c r="D40" s="1018">
        <f>C40*'Rates - Single'!$C$204</f>
        <v>3845091.2812894071</v>
      </c>
      <c r="E40" s="1018">
        <f>D40*'Rates - Single'!$C$205</f>
        <v>1153527.3843868221</v>
      </c>
      <c r="F40" s="1028">
        <f>E40*'Rates - Single'!$C$206</f>
        <v>576763.69219341106</v>
      </c>
    </row>
    <row r="41" spans="2:10" ht="15" x14ac:dyDescent="0.25">
      <c r="B41" s="1017">
        <v>2049</v>
      </c>
      <c r="C41" s="1018">
        <f>SUM('Volumes (Project Site)'!C46:D46)</f>
        <v>36803016.54948432</v>
      </c>
      <c r="D41" s="1018">
        <f>C41*'Rates - Single'!$C$204</f>
        <v>3845091.2812894071</v>
      </c>
      <c r="E41" s="1018">
        <f>D41*'Rates - Single'!$C$205</f>
        <v>1153527.3843868221</v>
      </c>
      <c r="F41" s="1028">
        <f>E41*'Rates - Single'!$C$206</f>
        <v>576763.69219341106</v>
      </c>
    </row>
    <row r="42" spans="2:10" ht="15" x14ac:dyDescent="0.25">
      <c r="B42" s="1017">
        <v>2050</v>
      </c>
      <c r="C42" s="1018">
        <f>SUM('Volumes (Project Site)'!C47:D47)</f>
        <v>36803016.54948432</v>
      </c>
      <c r="D42" s="1018">
        <f>C42*'Rates - Single'!$C$204</f>
        <v>3845091.2812894071</v>
      </c>
      <c r="E42" s="1018">
        <f>D42*'Rates - Single'!$C$205</f>
        <v>1153527.3843868221</v>
      </c>
      <c r="F42" s="1028">
        <f>E42*'Rates - Single'!$C$206</f>
        <v>576763.69219341106</v>
      </c>
    </row>
    <row r="43" spans="2:10" ht="15" x14ac:dyDescent="0.25">
      <c r="B43" s="1017">
        <v>2051</v>
      </c>
      <c r="C43" s="1018">
        <f>SUM('Volumes (Project Site)'!C48:D48)</f>
        <v>36803016.54948432</v>
      </c>
      <c r="D43" s="1018">
        <f>C43*'Rates - Single'!$C$204</f>
        <v>3845091.2812894071</v>
      </c>
      <c r="E43" s="1018">
        <f>D43*'Rates - Single'!$C$205</f>
        <v>1153527.3843868221</v>
      </c>
      <c r="F43" s="1028">
        <f>E43*'Rates - Single'!$C$206</f>
        <v>576763.69219341106</v>
      </c>
    </row>
    <row r="44" spans="2:10" ht="15" x14ac:dyDescent="0.25">
      <c r="B44" s="1017">
        <v>2052</v>
      </c>
      <c r="C44" s="1018">
        <f>SUM('Volumes (Project Site)'!C49:D49)</f>
        <v>36803016.54948432</v>
      </c>
      <c r="D44" s="1018">
        <f>C44*'Rates - Single'!$C$204</f>
        <v>3845091.2812894071</v>
      </c>
      <c r="E44" s="1018">
        <f>D44*'Rates - Single'!$C$205</f>
        <v>1153527.3843868221</v>
      </c>
      <c r="F44" s="1028">
        <f>E44*'Rates - Single'!$C$206</f>
        <v>576763.69219341106</v>
      </c>
    </row>
    <row r="45" spans="2:10" ht="15" x14ac:dyDescent="0.25">
      <c r="B45" s="1017">
        <v>2053</v>
      </c>
      <c r="C45" s="1018">
        <f>SUM('Volumes (Project Site)'!C50:D50)</f>
        <v>36803016.54948432</v>
      </c>
      <c r="D45" s="1018">
        <f>C45*'Rates - Single'!$C$204</f>
        <v>3845091.2812894071</v>
      </c>
      <c r="E45" s="1018">
        <f>D45*'Rates - Single'!$C$205</f>
        <v>1153527.3843868221</v>
      </c>
      <c r="F45" s="1028">
        <f>E45*'Rates - Single'!$C$206</f>
        <v>576763.69219341106</v>
      </c>
    </row>
    <row r="46" spans="2:10" ht="15" x14ac:dyDescent="0.25">
      <c r="B46" s="1017">
        <v>2054</v>
      </c>
      <c r="C46" s="1018">
        <f>SUM('Volumes (Project Site)'!C51:D51)</f>
        <v>36803016.54948432</v>
      </c>
      <c r="D46" s="1018">
        <f>C46*'Rates - Single'!$C$204</f>
        <v>3845091.2812894071</v>
      </c>
      <c r="E46" s="1018">
        <f>D46*'Rates - Single'!$C$205</f>
        <v>1153527.3843868221</v>
      </c>
      <c r="F46" s="1028">
        <f>E46*'Rates - Single'!$C$206</f>
        <v>576763.69219341106</v>
      </c>
    </row>
    <row r="47" spans="2:10" ht="15" x14ac:dyDescent="0.25">
      <c r="B47" s="1017">
        <v>2055</v>
      </c>
      <c r="C47" s="1018">
        <f>SUM('Volumes (Project Site)'!C52:D52)</f>
        <v>36803016.54948432</v>
      </c>
      <c r="D47" s="1018">
        <f>C47*'Rates - Single'!$C$204</f>
        <v>3845091.2812894071</v>
      </c>
      <c r="E47" s="1018">
        <f>D47*'Rates - Single'!$C$205</f>
        <v>1153527.3843868221</v>
      </c>
      <c r="F47" s="1028">
        <f>E47*'Rates - Single'!$C$206</f>
        <v>576763.69219341106</v>
      </c>
    </row>
    <row r="48" spans="2:10" ht="15" x14ac:dyDescent="0.25">
      <c r="B48" s="1017">
        <v>2056</v>
      </c>
      <c r="C48" s="1018">
        <f>SUM('Volumes (Project Site)'!C53:D53)</f>
        <v>36803016.54948432</v>
      </c>
      <c r="D48" s="1018">
        <f>C48*'Rates - Single'!$C$204</f>
        <v>3845091.2812894071</v>
      </c>
      <c r="E48" s="1018">
        <f>D48*'Rates - Single'!$C$205</f>
        <v>1153527.3843868221</v>
      </c>
      <c r="F48" s="1028">
        <f>E48*'Rates - Single'!$C$206</f>
        <v>576763.69219341106</v>
      </c>
    </row>
    <row r="49" spans="2:7" ht="15" x14ac:dyDescent="0.25">
      <c r="B49" s="1017">
        <v>2057</v>
      </c>
      <c r="C49" s="1018">
        <f>SUM('Volumes (Project Site)'!C54:D54)</f>
        <v>36803016.54948432</v>
      </c>
      <c r="D49" s="1018">
        <f>C49*'Rates - Single'!$C$204</f>
        <v>3845091.2812894071</v>
      </c>
      <c r="E49" s="1018">
        <f>D49*'Rates - Single'!$C$205</f>
        <v>1153527.3843868221</v>
      </c>
      <c r="F49" s="1028">
        <f>E49*'Rates - Single'!$C$206</f>
        <v>576763.69219341106</v>
      </c>
    </row>
    <row r="50" spans="2:7" ht="15" x14ac:dyDescent="0.25">
      <c r="B50" s="1017">
        <v>2058</v>
      </c>
      <c r="C50" s="1018">
        <f>SUM('Volumes (Project Site)'!C55:D55)</f>
        <v>36803016.54948432</v>
      </c>
      <c r="D50" s="1018">
        <f>C50*'Rates - Single'!$C$204</f>
        <v>3845091.2812894071</v>
      </c>
      <c r="E50" s="1018">
        <f>D50*'Rates - Single'!$C$205</f>
        <v>1153527.3843868221</v>
      </c>
      <c r="F50" s="1028">
        <f>E50*'Rates - Single'!$C$206</f>
        <v>576763.69219341106</v>
      </c>
    </row>
    <row r="51" spans="2:7" ht="15" x14ac:dyDescent="0.25">
      <c r="B51" s="1017">
        <v>2059</v>
      </c>
      <c r="C51" s="1018">
        <f>SUM('Volumes (Project Site)'!C56:D56)</f>
        <v>36803016.54948432</v>
      </c>
      <c r="D51" s="1018">
        <f>C51*'Rates - Single'!$C$204</f>
        <v>3845091.2812894071</v>
      </c>
      <c r="E51" s="1018">
        <f>D51*'Rates - Single'!$C$205</f>
        <v>1153527.3843868221</v>
      </c>
      <c r="F51" s="1028">
        <f>E51*'Rates - Single'!$C$206</f>
        <v>576763.69219341106</v>
      </c>
    </row>
    <row r="52" spans="2:7" ht="15" x14ac:dyDescent="0.25">
      <c r="B52" s="1017">
        <v>2060</v>
      </c>
      <c r="C52" s="1018">
        <f>SUM('Volumes (Project Site)'!C57:D57)</f>
        <v>36803016.54948432</v>
      </c>
      <c r="D52" s="1018">
        <f>C52*'Rates - Single'!$C$204</f>
        <v>3845091.2812894071</v>
      </c>
      <c r="E52" s="1018">
        <f>D52*'Rates - Single'!$C$205</f>
        <v>1153527.3843868221</v>
      </c>
      <c r="F52" s="1028">
        <f>E52*'Rates - Single'!$C$206</f>
        <v>576763.69219341106</v>
      </c>
    </row>
    <row r="53" spans="2:7" ht="15.75" thickBot="1" x14ac:dyDescent="0.3">
      <c r="B53" s="1021">
        <v>2061</v>
      </c>
      <c r="C53" s="1022">
        <f>SUM('Volumes (Project Site)'!C58:D58)</f>
        <v>36803016.54948432</v>
      </c>
      <c r="D53" s="1022">
        <f>C53*'Rates - Single'!$C$204</f>
        <v>3845091.2812894071</v>
      </c>
      <c r="E53" s="1022">
        <f>D53*'Rates - Single'!$C$205</f>
        <v>1153527.3843868221</v>
      </c>
      <c r="F53" s="1029">
        <f>E53*'Rates - Single'!$C$206</f>
        <v>576763.69219341106</v>
      </c>
    </row>
    <row r="54" spans="2:7" ht="13.5" thickTop="1" x14ac:dyDescent="0.25">
      <c r="B54" s="1219" t="s">
        <v>508</v>
      </c>
      <c r="C54" s="1219"/>
      <c r="D54" s="1219"/>
      <c r="E54" s="1219"/>
      <c r="F54" s="1219"/>
      <c r="G54" s="1219"/>
    </row>
  </sheetData>
  <mergeCells count="2">
    <mergeCell ref="B54:G54"/>
    <mergeCell ref="B4:F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AD98"/>
  <sheetViews>
    <sheetView zoomScale="80" zoomScaleNormal="80" workbookViewId="0">
      <selection activeCell="C6" sqref="C6"/>
    </sheetView>
  </sheetViews>
  <sheetFormatPr defaultRowHeight="12.75" x14ac:dyDescent="0.25"/>
  <cols>
    <col min="1" max="1" width="3.5703125" style="1339" customWidth="1"/>
    <col min="2" max="2" width="28.5703125" style="1339" customWidth="1"/>
    <col min="3" max="3" width="14.28515625" style="1339" customWidth="1"/>
    <col min="4" max="4" width="16.28515625" style="1339" customWidth="1"/>
    <col min="5" max="5" width="13.5703125" style="1339" customWidth="1"/>
    <col min="6" max="8" width="12.7109375" style="1339" customWidth="1"/>
    <col min="9" max="11" width="16" style="1339" customWidth="1"/>
    <col min="12" max="14" width="12.7109375" style="1339" customWidth="1"/>
    <col min="15" max="15" width="15.42578125" style="1339" customWidth="1"/>
    <col min="16" max="22" width="12.7109375" style="1339" customWidth="1"/>
    <col min="23" max="23" width="2.7109375" style="1339" customWidth="1"/>
    <col min="24" max="44" width="15.7109375" style="1339" customWidth="1"/>
    <col min="45" max="45" width="4.140625" style="1339" customWidth="1"/>
    <col min="46" max="66" width="15.7109375" style="1339" customWidth="1"/>
    <col min="67" max="16384" width="9.140625" style="1339"/>
  </cols>
  <sheetData>
    <row r="2" spans="2:30" ht="18.75" x14ac:dyDescent="0.25">
      <c r="B2" s="1346" t="str">
        <f>'About the Spreadsheet Tabs'!$B$3</f>
        <v>Benefit-Cost Assessment Spreadsheet for Access I-95: Driving Baltimore's City Development</v>
      </c>
    </row>
    <row r="3" spans="2:30" ht="18.75" x14ac:dyDescent="0.25">
      <c r="B3" s="1346" t="s">
        <v>683</v>
      </c>
    </row>
    <row r="4" spans="2:30" ht="52.5" customHeight="1" x14ac:dyDescent="0.25">
      <c r="B4" s="1377" t="s">
        <v>717</v>
      </c>
      <c r="C4" s="1377"/>
      <c r="D4" s="1377"/>
      <c r="E4" s="1377"/>
      <c r="F4" s="1377"/>
    </row>
    <row r="5" spans="2:30" ht="15.75" x14ac:dyDescent="0.25">
      <c r="E5" s="1378"/>
      <c r="F5" s="1378"/>
      <c r="G5" s="1378"/>
      <c r="H5" s="1378"/>
      <c r="I5" s="1378"/>
      <c r="J5" s="1378"/>
      <c r="K5" s="1378"/>
      <c r="L5" s="1378"/>
      <c r="M5" s="1378"/>
      <c r="N5" s="1345"/>
      <c r="O5" s="1345"/>
      <c r="P5" s="1345"/>
      <c r="Q5" s="1345"/>
      <c r="R5" s="1345"/>
      <c r="S5" s="1345"/>
      <c r="T5" s="1345"/>
      <c r="U5" s="1345"/>
      <c r="V5" s="1345"/>
      <c r="W5" s="1345"/>
      <c r="X5" s="1345"/>
      <c r="Y5" s="1345"/>
      <c r="Z5" s="1345"/>
      <c r="AA5" s="1345"/>
      <c r="AB5" s="1345"/>
      <c r="AC5" s="1345"/>
      <c r="AD5" s="1345"/>
    </row>
    <row r="6" spans="2:30" ht="56.25" customHeight="1" x14ac:dyDescent="0.25">
      <c r="B6" s="1379" t="s">
        <v>7</v>
      </c>
      <c r="C6" s="1355" t="s">
        <v>668</v>
      </c>
      <c r="D6" s="1355" t="s">
        <v>669</v>
      </c>
      <c r="E6" s="1355" t="s">
        <v>640</v>
      </c>
      <c r="F6" s="1355" t="s">
        <v>818</v>
      </c>
      <c r="G6" s="1355" t="s">
        <v>675</v>
      </c>
      <c r="H6" s="1355" t="s">
        <v>821</v>
      </c>
      <c r="I6" s="1355" t="s">
        <v>642</v>
      </c>
      <c r="J6" s="1354" t="s">
        <v>501</v>
      </c>
      <c r="K6" s="1355" t="s">
        <v>822</v>
      </c>
      <c r="L6" s="1354" t="s">
        <v>502</v>
      </c>
      <c r="M6" s="1355" t="s">
        <v>76</v>
      </c>
      <c r="N6" s="1355" t="s">
        <v>503</v>
      </c>
    </row>
    <row r="7" spans="2:30" ht="15" x14ac:dyDescent="0.25">
      <c r="B7" s="1358">
        <v>2015</v>
      </c>
      <c r="C7" s="1375">
        <f>SUM('Volumes (Project Site)'!C12:D12)</f>
        <v>19311249.437655929</v>
      </c>
      <c r="D7" s="1375" t="s">
        <v>643</v>
      </c>
      <c r="E7" s="1375" t="s">
        <v>643</v>
      </c>
      <c r="F7" s="1375" t="s">
        <v>643</v>
      </c>
      <c r="G7" s="1375" t="s">
        <v>643</v>
      </c>
      <c r="H7" s="1375" t="s">
        <v>643</v>
      </c>
      <c r="I7" s="1375" t="s">
        <v>643</v>
      </c>
      <c r="J7" s="1375" t="s">
        <v>643</v>
      </c>
      <c r="K7" s="1375" t="s">
        <v>643</v>
      </c>
      <c r="L7" s="1375" t="s">
        <v>643</v>
      </c>
      <c r="M7" s="1375" t="s">
        <v>643</v>
      </c>
      <c r="N7" s="1375" t="s">
        <v>643</v>
      </c>
    </row>
    <row r="8" spans="2:30" ht="15" x14ac:dyDescent="0.25">
      <c r="B8" s="1358">
        <v>2016</v>
      </c>
      <c r="C8" s="1375">
        <f>SUM('Volumes (Project Site)'!C13:D13)</f>
        <v>20010920.122129064</v>
      </c>
      <c r="D8" s="1375" t="s">
        <v>643</v>
      </c>
      <c r="E8" s="1375" t="s">
        <v>643</v>
      </c>
      <c r="F8" s="1375" t="s">
        <v>643</v>
      </c>
      <c r="G8" s="1375" t="s">
        <v>643</v>
      </c>
      <c r="H8" s="1375" t="s">
        <v>643</v>
      </c>
      <c r="I8" s="1375" t="s">
        <v>643</v>
      </c>
      <c r="J8" s="1375" t="s">
        <v>643</v>
      </c>
      <c r="K8" s="1375" t="s">
        <v>643</v>
      </c>
      <c r="L8" s="1375" t="s">
        <v>643</v>
      </c>
      <c r="M8" s="1375" t="s">
        <v>643</v>
      </c>
      <c r="N8" s="1375" t="s">
        <v>643</v>
      </c>
    </row>
    <row r="9" spans="2:30" ht="15" x14ac:dyDescent="0.25">
      <c r="B9" s="1358">
        <v>2017</v>
      </c>
      <c r="C9" s="1375">
        <f>SUM('Volumes (Project Site)'!C14:D14)</f>
        <v>20710590.806602202</v>
      </c>
      <c r="D9" s="1375" t="s">
        <v>643</v>
      </c>
      <c r="E9" s="1375" t="s">
        <v>643</v>
      </c>
      <c r="F9" s="1375" t="s">
        <v>643</v>
      </c>
      <c r="G9" s="1375" t="s">
        <v>643</v>
      </c>
      <c r="H9" s="1375" t="s">
        <v>643</v>
      </c>
      <c r="I9" s="1375" t="s">
        <v>643</v>
      </c>
      <c r="J9" s="1375" t="s">
        <v>643</v>
      </c>
      <c r="K9" s="1375" t="s">
        <v>643</v>
      </c>
      <c r="L9" s="1375" t="s">
        <v>643</v>
      </c>
      <c r="M9" s="1375" t="s">
        <v>643</v>
      </c>
      <c r="N9" s="1375" t="s">
        <v>643</v>
      </c>
    </row>
    <row r="10" spans="2:30" ht="15" x14ac:dyDescent="0.25">
      <c r="B10" s="1358">
        <v>2018</v>
      </c>
      <c r="C10" s="1375">
        <f>SUM('Volumes (Project Site)'!C15:D15)</f>
        <v>21410261.491075337</v>
      </c>
      <c r="D10" s="1375" t="s">
        <v>643</v>
      </c>
      <c r="E10" s="1375" t="s">
        <v>643</v>
      </c>
      <c r="F10" s="1375" t="s">
        <v>643</v>
      </c>
      <c r="G10" s="1375" t="s">
        <v>643</v>
      </c>
      <c r="H10" s="1375" t="s">
        <v>643</v>
      </c>
      <c r="I10" s="1375" t="s">
        <v>643</v>
      </c>
      <c r="J10" s="1375" t="s">
        <v>643</v>
      </c>
      <c r="K10" s="1375" t="s">
        <v>643</v>
      </c>
      <c r="L10" s="1375" t="s">
        <v>643</v>
      </c>
      <c r="M10" s="1375" t="s">
        <v>643</v>
      </c>
      <c r="N10" s="1375" t="s">
        <v>643</v>
      </c>
    </row>
    <row r="11" spans="2:30" ht="15" x14ac:dyDescent="0.25">
      <c r="B11" s="1358">
        <v>2019</v>
      </c>
      <c r="C11" s="1375">
        <f>SUM('Volumes (Project Site)'!C16:D16)</f>
        <v>22109932.175548472</v>
      </c>
      <c r="D11" s="1375" t="s">
        <v>643</v>
      </c>
      <c r="E11" s="1375" t="s">
        <v>643</v>
      </c>
      <c r="F11" s="1375" t="s">
        <v>643</v>
      </c>
      <c r="G11" s="1375" t="s">
        <v>643</v>
      </c>
      <c r="H11" s="1375" t="s">
        <v>643</v>
      </c>
      <c r="I11" s="1375" t="s">
        <v>643</v>
      </c>
      <c r="J11" s="1375" t="s">
        <v>643</v>
      </c>
      <c r="K11" s="1375" t="s">
        <v>643</v>
      </c>
      <c r="L11" s="1375" t="s">
        <v>643</v>
      </c>
      <c r="M11" s="1375" t="s">
        <v>643</v>
      </c>
      <c r="N11" s="1375" t="s">
        <v>643</v>
      </c>
    </row>
    <row r="12" spans="2:30" ht="15" x14ac:dyDescent="0.25">
      <c r="B12" s="1358">
        <v>2020</v>
      </c>
      <c r="C12" s="1375">
        <f>SUM('Volumes (Project Site)'!C17:D17)</f>
        <v>22809602.86002161</v>
      </c>
      <c r="D12" s="1375" t="s">
        <v>643</v>
      </c>
      <c r="E12" s="1375" t="s">
        <v>643</v>
      </c>
      <c r="F12" s="1375" t="s">
        <v>643</v>
      </c>
      <c r="G12" s="1375" t="s">
        <v>643</v>
      </c>
      <c r="H12" s="1375" t="s">
        <v>643</v>
      </c>
      <c r="I12" s="1375" t="s">
        <v>643</v>
      </c>
      <c r="J12" s="1375" t="s">
        <v>643</v>
      </c>
      <c r="K12" s="1375" t="s">
        <v>643</v>
      </c>
      <c r="L12" s="1375" t="s">
        <v>643</v>
      </c>
      <c r="M12" s="1375" t="s">
        <v>643</v>
      </c>
      <c r="N12" s="1375" t="s">
        <v>643</v>
      </c>
    </row>
    <row r="13" spans="2:30" ht="15" x14ac:dyDescent="0.25">
      <c r="B13" s="1358">
        <v>2021</v>
      </c>
      <c r="C13" s="1375">
        <f>SUM('Volumes (Project Site)'!C18:D18)</f>
        <v>23509273.544494744</v>
      </c>
      <c r="D13" s="1375" t="s">
        <v>643</v>
      </c>
      <c r="E13" s="1375" t="s">
        <v>643</v>
      </c>
      <c r="F13" s="1375" t="s">
        <v>643</v>
      </c>
      <c r="G13" s="1375" t="s">
        <v>643</v>
      </c>
      <c r="H13" s="1375" t="s">
        <v>643</v>
      </c>
      <c r="I13" s="1375" t="s">
        <v>643</v>
      </c>
      <c r="J13" s="1375" t="s">
        <v>643</v>
      </c>
      <c r="K13" s="1375" t="s">
        <v>643</v>
      </c>
      <c r="L13" s="1375" t="s">
        <v>643</v>
      </c>
      <c r="M13" s="1375" t="s">
        <v>643</v>
      </c>
      <c r="N13" s="1375" t="s">
        <v>643</v>
      </c>
    </row>
    <row r="14" spans="2:30" ht="15" x14ac:dyDescent="0.25">
      <c r="B14" s="1358">
        <v>2022</v>
      </c>
      <c r="C14" s="1375">
        <f>SUM('Volumes (Project Site)'!C19:D19)</f>
        <v>24208944.228967883</v>
      </c>
      <c r="D14" s="1375">
        <f>C14*'Rates - Single'!$C$204</f>
        <v>2529292.6806384358</v>
      </c>
      <c r="E14" s="1375">
        <f>D14*'Rates - Single'!$C$205</f>
        <v>758787.80419153068</v>
      </c>
      <c r="F14" s="1375">
        <f>E14/(AVO!$E$13*AVO!$C$8+(1-AVO!$E$13)*AVO!$G$7)</f>
        <v>425170.22634612775</v>
      </c>
      <c r="G14" s="1380">
        <f>E14*('Rates - Single'!$C$210*'Rates - Single'!$C$207+(1-'Rates - Single'!$C$210)*'Rates - Single'!$C$208)</f>
        <v>56909.085314364813</v>
      </c>
      <c r="H14" s="1380">
        <f>E14*'Rates - Single'!$E$45</f>
        <v>484428.01262495003</v>
      </c>
      <c r="I14" s="1380">
        <f>E14*'Rates - Single'!$E$15</f>
        <v>1044.3995876078052</v>
      </c>
      <c r="J14" s="1380">
        <f>$E14*D58*'Rates - Single'!$E111/'Rates - Single'!$E$152</f>
        <v>14766.844345910557</v>
      </c>
      <c r="K14" s="1380">
        <f>$E14*E58*'Rates - Single'!$E$98/'Rates - Single'!$E$153</f>
        <v>494.31567546925567</v>
      </c>
      <c r="L14" s="1380">
        <f>$E14*F58*'Rates - Single'!$E$100/'Rates - Single'!$E$153</f>
        <v>3818.6662948583871</v>
      </c>
      <c r="M14" s="1380">
        <f>$E14*G58*'Rates - Single'!$E$101/'Rates - Single'!$E$153</f>
        <v>4238.8106904898968</v>
      </c>
      <c r="N14" s="1380">
        <f>$E14*H58*'Rates - Single'!$E$102/'Rates - Single'!$E$153</f>
        <v>278.94438665083351</v>
      </c>
    </row>
    <row r="15" spans="2:30" ht="15" x14ac:dyDescent="0.25">
      <c r="B15" s="1358">
        <v>2023</v>
      </c>
      <c r="C15" s="1375">
        <f>SUM('Volumes (Project Site)'!C20:D20)</f>
        <v>24908614.913441017</v>
      </c>
      <c r="D15" s="1375">
        <f>C15*'Rates - Single'!$C$204</f>
        <v>2602392.6028968231</v>
      </c>
      <c r="E15" s="1375">
        <f>D15*'Rates - Single'!$C$205</f>
        <v>780717.78086904692</v>
      </c>
      <c r="F15" s="1375">
        <f>E15/(AVO!$E$13*AVO!$C$8+(1-AVO!$E$13)*AVO!$G$7)</f>
        <v>437458.21133513184</v>
      </c>
      <c r="G15" s="1380">
        <f>E15*('Rates - Single'!$C$210*'Rates - Single'!$C$207+(1-'Rates - Single'!$C$210)*'Rates - Single'!$C$208)</f>
        <v>58553.833565178531</v>
      </c>
      <c r="H15" s="1380">
        <f>E15*'Rates - Single'!$E$45</f>
        <v>498428.62644625385</v>
      </c>
      <c r="I15" s="1380">
        <f>E15*'Rates - Single'!$E$15</f>
        <v>1074.5841246703769</v>
      </c>
      <c r="J15" s="1380">
        <f>$E15*D59*'Rates - Single'!$E112/'Rates - Single'!$E$152</f>
        <v>15503.699782051102</v>
      </c>
      <c r="K15" s="1380">
        <f>$E15*E59*'Rates - Single'!$E$98/'Rates - Single'!$E$153</f>
        <v>508.60205589668169</v>
      </c>
      <c r="L15" s="1380">
        <f>$E15*F59*'Rates - Single'!$E$100/'Rates - Single'!$E$153</f>
        <v>3929.0308293472985</v>
      </c>
      <c r="M15" s="1380">
        <f>$E15*G59*'Rates - Single'!$E$101/'Rates - Single'!$E$153</f>
        <v>4361.3179567761454</v>
      </c>
      <c r="N15" s="1380">
        <f>$E15*H59*'Rates - Single'!$E$102/'Rates - Single'!$E$153</f>
        <v>287.00625040218176</v>
      </c>
    </row>
    <row r="16" spans="2:30" ht="15" x14ac:dyDescent="0.25">
      <c r="B16" s="1358">
        <v>2024</v>
      </c>
      <c r="C16" s="1375">
        <f>SUM('Volumes (Project Site)'!C21:D21)</f>
        <v>25608285.597914152</v>
      </c>
      <c r="D16" s="1375">
        <f>C16*'Rates - Single'!$C$204</f>
        <v>2675492.5251552099</v>
      </c>
      <c r="E16" s="1375">
        <f>D16*'Rates - Single'!$C$205</f>
        <v>802647.75754656293</v>
      </c>
      <c r="F16" s="1375">
        <f>E16/(AVO!$E$13*AVO!$C$8+(1-AVO!$E$13)*AVO!$G$7)</f>
        <v>449746.19632413576</v>
      </c>
      <c r="G16" s="1380">
        <f>E16*('Rates - Single'!$C$210*'Rates - Single'!$C$207+(1-'Rates - Single'!$C$210)*'Rates - Single'!$C$208)</f>
        <v>60198.581815992227</v>
      </c>
      <c r="H16" s="1380">
        <f>E16*'Rates - Single'!$E$45</f>
        <v>512429.2402675575</v>
      </c>
      <c r="I16" s="1380">
        <f>E16*'Rates - Single'!$E$15</f>
        <v>1104.7686617329484</v>
      </c>
      <c r="J16" s="1380">
        <f>$E16*D60*'Rates - Single'!$E113/'Rates - Single'!$E$152</f>
        <v>16257.974868824276</v>
      </c>
      <c r="K16" s="1380">
        <f>$E16*E60*'Rates - Single'!$E$98/'Rates - Single'!$E$153</f>
        <v>522.8884363241076</v>
      </c>
      <c r="L16" s="1380">
        <f>$E16*F60*'Rates - Single'!$E$100/'Rates - Single'!$E$153</f>
        <v>4039.3953638362091</v>
      </c>
      <c r="M16" s="1380">
        <f>$E16*G60*'Rates - Single'!$E$101/'Rates - Single'!$E$153</f>
        <v>4483.8252230623939</v>
      </c>
      <c r="N16" s="1380">
        <f>$E16*H60*'Rates - Single'!$E$102/'Rates - Single'!$E$153</f>
        <v>295.06811415352996</v>
      </c>
    </row>
    <row r="17" spans="2:14" ht="15" x14ac:dyDescent="0.25">
      <c r="B17" s="1358">
        <v>2025</v>
      </c>
      <c r="C17" s="1375">
        <f>SUM('Volumes (Project Site)'!C22:D22)</f>
        <v>26307956.28238729</v>
      </c>
      <c r="D17" s="1375">
        <f>C17*'Rates - Single'!$C$204</f>
        <v>2748592.4474135977</v>
      </c>
      <c r="E17" s="1375">
        <f>D17*'Rates - Single'!$C$205</f>
        <v>824577.73422407929</v>
      </c>
      <c r="F17" s="1375">
        <f>E17/(AVO!$E$13*AVO!$C$8+(1-AVO!$E$13)*AVO!$G$7)</f>
        <v>462034.18131313985</v>
      </c>
      <c r="G17" s="1380">
        <f>E17*('Rates - Single'!$C$210*'Rates - Single'!$C$207+(1-'Rates - Single'!$C$210)*'Rates - Single'!$C$208)</f>
        <v>61843.330066805953</v>
      </c>
      <c r="H17" s="1380">
        <f>E17*'Rates - Single'!$E$45</f>
        <v>526429.85408886138</v>
      </c>
      <c r="I17" s="1380">
        <f>E17*'Rates - Single'!$E$15</f>
        <v>1134.9531987955204</v>
      </c>
      <c r="J17" s="1380">
        <f>$E17*D61*'Rates - Single'!$E114/'Rates - Single'!$E$152</f>
        <v>17029.669606230091</v>
      </c>
      <c r="K17" s="1380">
        <f>$E17*E61*'Rates - Single'!$E$98/'Rates - Single'!$E$153</f>
        <v>537.17481675153363</v>
      </c>
      <c r="L17" s="1380">
        <f>$E17*F61*'Rates - Single'!$E$100/'Rates - Single'!$E$153</f>
        <v>4149.7598983251219</v>
      </c>
      <c r="M17" s="1380">
        <f>$E17*G61*'Rates - Single'!$E$101/'Rates - Single'!$E$153</f>
        <v>4606.3324893486424</v>
      </c>
      <c r="N17" s="1380">
        <f>$E17*H61*'Rates - Single'!$E$102/'Rates - Single'!$E$153</f>
        <v>303.12997790487827</v>
      </c>
    </row>
    <row r="18" spans="2:14" ht="15" x14ac:dyDescent="0.25">
      <c r="B18" s="1358">
        <v>2026</v>
      </c>
      <c r="C18" s="1375">
        <f>SUM('Volumes (Project Site)'!C23:D23)</f>
        <v>27007626.966860425</v>
      </c>
      <c r="D18" s="1375">
        <f>C18*'Rates - Single'!$C$204</f>
        <v>2821692.369671985</v>
      </c>
      <c r="E18" s="1375">
        <f>D18*'Rates - Single'!$C$205</f>
        <v>846507.71090159554</v>
      </c>
      <c r="F18" s="1375">
        <f>E18/(AVO!$E$13*AVO!$C$8+(1-AVO!$E$13)*AVO!$G$7)</f>
        <v>474322.16630214395</v>
      </c>
      <c r="G18" s="1380">
        <f>E18*('Rates - Single'!$C$210*'Rates - Single'!$C$207+(1-'Rates - Single'!$C$210)*'Rates - Single'!$C$208)</f>
        <v>63488.078317619671</v>
      </c>
      <c r="H18" s="1380">
        <f>E18*'Rates - Single'!$E$45</f>
        <v>540430.46791016508</v>
      </c>
      <c r="I18" s="1380">
        <f>E18*'Rates - Single'!$E$15</f>
        <v>1165.1377358580924</v>
      </c>
      <c r="J18" s="1380">
        <f>$E18*D62*'Rates - Single'!$E115/'Rates - Single'!$E$152</f>
        <v>17818.783994268535</v>
      </c>
      <c r="K18" s="1380">
        <f>$E18*E62*'Rates - Single'!$E$98/'Rates - Single'!$E$153</f>
        <v>551.46119717895976</v>
      </c>
      <c r="L18" s="1380">
        <f>$E18*F62*'Rates - Single'!$E$100/'Rates - Single'!$E$153</f>
        <v>4260.1244328140328</v>
      </c>
      <c r="M18" s="1380">
        <f>$E18*G62*'Rates - Single'!$E$101/'Rates - Single'!$E$153</f>
        <v>4728.8397556348918</v>
      </c>
      <c r="N18" s="1380">
        <f>$E18*H62*'Rates - Single'!$E$102/'Rates - Single'!$E$153</f>
        <v>311.19184165622653</v>
      </c>
    </row>
    <row r="19" spans="2:14" ht="15" x14ac:dyDescent="0.25">
      <c r="B19" s="1358">
        <v>2027</v>
      </c>
      <c r="C19" s="1375">
        <f>SUM('Volumes (Project Site)'!C24:D24)</f>
        <v>27707297.651333563</v>
      </c>
      <c r="D19" s="1375">
        <f>C19*'Rates - Single'!$C$204</f>
        <v>2894792.2919303724</v>
      </c>
      <c r="E19" s="1375">
        <f>D19*'Rates - Single'!$C$205</f>
        <v>868437.68757911166</v>
      </c>
      <c r="F19" s="1375">
        <f>E19/(AVO!$E$13*AVO!$C$8+(1-AVO!$E$13)*AVO!$G$7)</f>
        <v>486610.15129114792</v>
      </c>
      <c r="G19" s="1380">
        <f>E19*('Rates - Single'!$C$210*'Rates - Single'!$C$207+(1-'Rates - Single'!$C$210)*'Rates - Single'!$C$208)</f>
        <v>65132.826568433382</v>
      </c>
      <c r="H19" s="1380">
        <f>E19*'Rates - Single'!$E$45</f>
        <v>554431.0817314689</v>
      </c>
      <c r="I19" s="1380">
        <f>E19*'Rates - Single'!$E$15</f>
        <v>1195.3222729206639</v>
      </c>
      <c r="J19" s="1380">
        <f>$E19*D63*'Rates - Single'!$E116/'Rates - Single'!$E$152</f>
        <v>18625.318032939613</v>
      </c>
      <c r="K19" s="1380">
        <f>$E19*E63*'Rates - Single'!$E$98/'Rates - Single'!$E$153</f>
        <v>565.74757760638568</v>
      </c>
      <c r="L19" s="1380">
        <f>$E19*F63*'Rates - Single'!$E$100/'Rates - Single'!$E$153</f>
        <v>4370.4889673029447</v>
      </c>
      <c r="M19" s="1380">
        <f>$E19*G63*'Rates - Single'!$E$101/'Rates - Single'!$E$153</f>
        <v>4851.3470219211404</v>
      </c>
      <c r="N19" s="1380">
        <f>$E19*H63*'Rates - Single'!$E$102/'Rates - Single'!$E$153</f>
        <v>319.25370540757478</v>
      </c>
    </row>
    <row r="20" spans="2:14" ht="15" x14ac:dyDescent="0.25">
      <c r="B20" s="1358">
        <v>2028</v>
      </c>
      <c r="C20" s="1375">
        <f>SUM('Volumes (Project Site)'!C25:D25)</f>
        <v>28406968.335806698</v>
      </c>
      <c r="D20" s="1375">
        <f>C20*'Rates - Single'!$C$204</f>
        <v>2967892.2141887597</v>
      </c>
      <c r="E20" s="1375">
        <f>D20*'Rates - Single'!$C$205</f>
        <v>890367.6642566279</v>
      </c>
      <c r="F20" s="1375">
        <f>E20/(AVO!$E$13*AVO!$C$8+(1-AVO!$E$13)*AVO!$G$7)</f>
        <v>498898.13628015202</v>
      </c>
      <c r="G20" s="1380">
        <f>E20*('Rates - Single'!$C$210*'Rates - Single'!$C$207+(1-'Rates - Single'!$C$210)*'Rates - Single'!$C$208)</f>
        <v>66777.574819247107</v>
      </c>
      <c r="H20" s="1380">
        <f>E20*'Rates - Single'!$E$45</f>
        <v>568431.69555277261</v>
      </c>
      <c r="I20" s="1380">
        <f>E20*'Rates - Single'!$E$15</f>
        <v>1225.5068099832358</v>
      </c>
      <c r="J20" s="1380">
        <f>$E20*D64*'Rates - Single'!$E117/'Rates - Single'!$E$152</f>
        <v>20867.041869115732</v>
      </c>
      <c r="K20" s="1380">
        <f>$E20*E64*'Rates - Single'!$E$98/'Rates - Single'!$E$153</f>
        <v>643.89585940440486</v>
      </c>
      <c r="L20" s="1380">
        <f>$E20*F64*'Rates - Single'!$E$100/'Rates - Single'!$E$153</f>
        <v>4380.7241709652899</v>
      </c>
      <c r="M20" s="1380">
        <f>$E20*G64*'Rates - Single'!$E$101/'Rates - Single'!$E$153</f>
        <v>5275.6131037537925</v>
      </c>
      <c r="N20" s="1380">
        <f>$E20*H64*'Rates - Single'!$E$102/'Rates - Single'!$E$153</f>
        <v>350.87827079925393</v>
      </c>
    </row>
    <row r="21" spans="2:14" ht="15" x14ac:dyDescent="0.25">
      <c r="B21" s="1358">
        <v>2029</v>
      </c>
      <c r="C21" s="1375">
        <f>SUM('Volumes (Project Site)'!C26:D26)</f>
        <v>29106639.020279832</v>
      </c>
      <c r="D21" s="1375">
        <f>C21*'Rates - Single'!$C$204</f>
        <v>3040992.136447147</v>
      </c>
      <c r="E21" s="1375">
        <f>D21*'Rates - Single'!$C$205</f>
        <v>912297.64093414403</v>
      </c>
      <c r="F21" s="1375">
        <f>E21/(AVO!$E$13*AVO!$C$8+(1-AVO!$E$13)*AVO!$G$7)</f>
        <v>511186.12126915599</v>
      </c>
      <c r="G21" s="1380">
        <f>E21*('Rates - Single'!$C$210*'Rates - Single'!$C$207+(1-'Rates - Single'!$C$210)*'Rates - Single'!$C$208)</f>
        <v>68422.323070060811</v>
      </c>
      <c r="H21" s="1380">
        <f>E21*'Rates - Single'!$E$45</f>
        <v>582432.30937407631</v>
      </c>
      <c r="I21" s="1380">
        <f>E21*'Rates - Single'!$E$15</f>
        <v>1255.6913470458073</v>
      </c>
      <c r="J21" s="1380">
        <f>$E21*D65*'Rates - Single'!$E118/'Rates - Single'!$E$152</f>
        <v>21381.002292308462</v>
      </c>
      <c r="K21" s="1380">
        <f>$E21*E65*'Rates - Single'!$E$98/'Rates - Single'!$E$153</f>
        <v>659.75517432154879</v>
      </c>
      <c r="L21" s="1380">
        <f>$E21*F65*'Rates - Single'!$E$100/'Rates - Single'!$E$153</f>
        <v>4488.6224951706154</v>
      </c>
      <c r="M21" s="1380">
        <f>$E21*G65*'Rates - Single'!$E$101/'Rates - Single'!$E$153</f>
        <v>5405.5527646033497</v>
      </c>
      <c r="N21" s="1380">
        <f>$E21*H65*'Rates - Single'!$E$102/'Rates - Single'!$E$153</f>
        <v>359.52048974337879</v>
      </c>
    </row>
    <row r="22" spans="2:14" ht="15" x14ac:dyDescent="0.25">
      <c r="B22" s="1358">
        <v>2030</v>
      </c>
      <c r="C22" s="1375">
        <f>SUM('Volumes (Project Site)'!C27:D27)</f>
        <v>29806309.70475297</v>
      </c>
      <c r="D22" s="1375">
        <f>C22*'Rates - Single'!$C$204</f>
        <v>3114092.0587055343</v>
      </c>
      <c r="E22" s="1375">
        <f>D22*'Rates - Single'!$C$205</f>
        <v>934227.61761166027</v>
      </c>
      <c r="F22" s="1375">
        <f>E22/(AVO!$E$13*AVO!$C$8+(1-AVO!$E$13)*AVO!$G$7)</f>
        <v>523474.10625816009</v>
      </c>
      <c r="G22" s="1380">
        <f>E22*('Rates - Single'!$C$210*'Rates - Single'!$C$207+(1-'Rates - Single'!$C$210)*'Rates - Single'!$C$208)</f>
        <v>70067.071320874529</v>
      </c>
      <c r="H22" s="1380">
        <f>E22*'Rates - Single'!$E$45</f>
        <v>596432.92319538014</v>
      </c>
      <c r="I22" s="1380">
        <f>E22*'Rates - Single'!$E$15</f>
        <v>1285.8758841083793</v>
      </c>
      <c r="J22" s="1380">
        <f>$E22*D66*'Rates - Single'!$E119/'Rates - Single'!$E$152</f>
        <v>22691.143177883052</v>
      </c>
      <c r="K22" s="1380">
        <f>$E22*E66*'Rates - Single'!$E$98/'Rates - Single'!$E$153</f>
        <v>675.61448923869284</v>
      </c>
      <c r="L22" s="1380">
        <f>$E22*F66*'Rates - Single'!$E$100/'Rates - Single'!$E$153</f>
        <v>4596.5208193759418</v>
      </c>
      <c r="M22" s="1380">
        <f>$E22*G66*'Rates - Single'!$E$101/'Rates - Single'!$E$153</f>
        <v>5535.4924254529087</v>
      </c>
      <c r="N22" s="1380">
        <f>$E22*H66*'Rates - Single'!$E$102/'Rates - Single'!$E$153</f>
        <v>368.16270868750371</v>
      </c>
    </row>
    <row r="23" spans="2:14" ht="15" x14ac:dyDescent="0.25">
      <c r="B23" s="1358">
        <v>2031</v>
      </c>
      <c r="C23" s="1375">
        <f>SUM('Volumes (Project Site)'!C28:D28)</f>
        <v>30505980.389226105</v>
      </c>
      <c r="D23" s="1375">
        <f>C23*'Rates - Single'!$C$204</f>
        <v>3187191.9809639216</v>
      </c>
      <c r="E23" s="1375">
        <f>D23*'Rates - Single'!$C$205</f>
        <v>956157.5942891764</v>
      </c>
      <c r="F23" s="1375">
        <f>E23/(AVO!$E$13*AVO!$C$8+(1-AVO!$E$13)*AVO!$G$7)</f>
        <v>535762.09124716406</v>
      </c>
      <c r="G23" s="1380">
        <f>E23*('Rates - Single'!$C$210*'Rates - Single'!$C$207+(1-'Rates - Single'!$C$210)*'Rates - Single'!$C$208)</f>
        <v>71711.819571688247</v>
      </c>
      <c r="H23" s="1380">
        <f>E23*'Rates - Single'!$E$45</f>
        <v>610433.53701668384</v>
      </c>
      <c r="I23" s="1380">
        <f>E23*'Rates - Single'!$E$15</f>
        <v>1316.0604211709508</v>
      </c>
      <c r="J23" s="1380">
        <f>$E23*D67*'Rates - Single'!$E120/'Rates - Single'!$E$152</f>
        <v>23631.228037168141</v>
      </c>
      <c r="K23" s="1380">
        <f>$E23*E67*'Rates - Single'!$E$98/'Rates - Single'!$E$153</f>
        <v>691.47380415583689</v>
      </c>
      <c r="L23" s="1380">
        <f>$E23*F67*'Rates - Single'!$E$100/'Rates - Single'!$E$153</f>
        <v>4704.4191435812672</v>
      </c>
      <c r="M23" s="1380">
        <f>$E23*G67*'Rates - Single'!$E$101/'Rates - Single'!$E$153</f>
        <v>5665.432086302465</v>
      </c>
      <c r="N23" s="1380">
        <f>$E23*H67*'Rates - Single'!$E$102/'Rates - Single'!$E$153</f>
        <v>376.80492763162852</v>
      </c>
    </row>
    <row r="24" spans="2:14" ht="15" x14ac:dyDescent="0.25">
      <c r="B24" s="1358">
        <v>2032</v>
      </c>
      <c r="C24" s="1375">
        <f>SUM('Volumes (Project Site)'!C29:D29)</f>
        <v>31205651.07369924</v>
      </c>
      <c r="D24" s="1375">
        <f>C24*'Rates - Single'!$C$204</f>
        <v>3260291.903222309</v>
      </c>
      <c r="E24" s="1375">
        <f>D24*'Rates - Single'!$C$205</f>
        <v>978087.57096669264</v>
      </c>
      <c r="F24" s="1375">
        <f>E24/(AVO!$E$13*AVO!$C$8+(1-AVO!$E$13)*AVO!$G$7)</f>
        <v>548050.07623616816</v>
      </c>
      <c r="G24" s="1380">
        <f>E24*('Rates - Single'!$C$210*'Rates - Single'!$C$207+(1-'Rates - Single'!$C$210)*'Rates - Single'!$C$208)</f>
        <v>73356.567822501966</v>
      </c>
      <c r="H24" s="1380">
        <f>E24*'Rates - Single'!$E$45</f>
        <v>624434.15083798766</v>
      </c>
      <c r="I24" s="1380">
        <f>E24*'Rates - Single'!$E$15</f>
        <v>1346.2449582335228</v>
      </c>
      <c r="J24" s="1380">
        <f>$E24*D68*'Rates - Single'!$E121/'Rates - Single'!$E$152</f>
        <v>24590.002366387507</v>
      </c>
      <c r="K24" s="1380">
        <f>$E24*E68*'Rates - Single'!$E$98/'Rates - Single'!$E$153</f>
        <v>707.33311907298094</v>
      </c>
      <c r="L24" s="1380">
        <f>$E24*F68*'Rates - Single'!$E$100/'Rates - Single'!$E$153</f>
        <v>4812.3174677865927</v>
      </c>
      <c r="M24" s="1380">
        <f>$E24*G68*'Rates - Single'!$E$101/'Rates - Single'!$E$153</f>
        <v>5795.371747152024</v>
      </c>
      <c r="N24" s="1380">
        <f>$E24*H68*'Rates - Single'!$E$102/'Rates - Single'!$E$153</f>
        <v>385.44714657575344</v>
      </c>
    </row>
    <row r="25" spans="2:14" ht="15" x14ac:dyDescent="0.25">
      <c r="B25" s="1358">
        <v>2033</v>
      </c>
      <c r="C25" s="1375">
        <f>SUM('Volumes (Project Site)'!C30:D30)</f>
        <v>31905321.758172378</v>
      </c>
      <c r="D25" s="1375">
        <f>C25*'Rates - Single'!$C$204</f>
        <v>3333391.8254806967</v>
      </c>
      <c r="E25" s="1375">
        <f>D25*'Rates - Single'!$C$205</f>
        <v>1000017.547644209</v>
      </c>
      <c r="F25" s="1375">
        <f>E25/(AVO!$E$13*AVO!$C$8+(1-AVO!$E$13)*AVO!$G$7)</f>
        <v>560338.06122517225</v>
      </c>
      <c r="G25" s="1380">
        <f>E25*('Rates - Single'!$C$210*'Rates - Single'!$C$207+(1-'Rates - Single'!$C$210)*'Rates - Single'!$C$208)</f>
        <v>75001.316073315684</v>
      </c>
      <c r="H25" s="1380">
        <f>E25*'Rates - Single'!$E$45</f>
        <v>638434.76465929148</v>
      </c>
      <c r="I25" s="1380">
        <f>E25*'Rates - Single'!$E$15</f>
        <v>1376.4294952960947</v>
      </c>
      <c r="J25" s="1380">
        <f>$E25*D69*'Rates - Single'!$E122/'Rates - Single'!$E$152</f>
        <v>25567.466165541162</v>
      </c>
      <c r="K25" s="1380">
        <f>$E25*E69*'Rates - Single'!$E$98/'Rates - Single'!$E$153</f>
        <v>723.1924339901251</v>
      </c>
      <c r="L25" s="1380">
        <f>$E25*F69*'Rates - Single'!$E$100/'Rates - Single'!$E$153</f>
        <v>4920.21579199192</v>
      </c>
      <c r="M25" s="1380">
        <f>$E25*G69*'Rates - Single'!$E$101/'Rates - Single'!$E$153</f>
        <v>5925.3114080015839</v>
      </c>
      <c r="N25" s="1380">
        <f>$E25*H69*'Rates - Single'!$E$102/'Rates - Single'!$E$153</f>
        <v>394.08936551987836</v>
      </c>
    </row>
    <row r="26" spans="2:14" ht="15" x14ac:dyDescent="0.25">
      <c r="B26" s="1358">
        <v>2034</v>
      </c>
      <c r="C26" s="1375">
        <f>SUM('Volumes (Project Site)'!C31:D31)</f>
        <v>32604992.442645513</v>
      </c>
      <c r="D26" s="1375">
        <f>C26*'Rates - Single'!$C$204</f>
        <v>3406491.7477390836</v>
      </c>
      <c r="E26" s="1375">
        <f>D26*'Rates - Single'!$C$205</f>
        <v>1021947.524321725</v>
      </c>
      <c r="F26" s="1375">
        <f>E26/(AVO!$E$13*AVO!$C$8+(1-AVO!$E$13)*AVO!$G$7)</f>
        <v>572626.04621417623</v>
      </c>
      <c r="G26" s="1380">
        <f>E26*('Rates - Single'!$C$210*'Rates - Single'!$C$207+(1-'Rates - Single'!$C$210)*'Rates - Single'!$C$208)</f>
        <v>76646.064324129387</v>
      </c>
      <c r="H26" s="1380">
        <f>E26*'Rates - Single'!$E$45</f>
        <v>652435.37848059519</v>
      </c>
      <c r="I26" s="1380">
        <f>E26*'Rates - Single'!$E$15</f>
        <v>1406.6140323586662</v>
      </c>
      <c r="J26" s="1380">
        <f>$E26*D70*'Rates - Single'!$E123/'Rates - Single'!$E$152</f>
        <v>26563.619434629087</v>
      </c>
      <c r="K26" s="1380">
        <f>$E26*E70*'Rates - Single'!$E$98/'Rates - Single'!$E$153</f>
        <v>739.05174890726903</v>
      </c>
      <c r="L26" s="1380">
        <f>$E26*F70*'Rates - Single'!$E$100/'Rates - Single'!$E$153</f>
        <v>5028.1141161972446</v>
      </c>
      <c r="M26" s="1380">
        <f>$E26*G70*'Rates - Single'!$E$101/'Rates - Single'!$E$153</f>
        <v>6055.2510688511411</v>
      </c>
      <c r="N26" s="1380">
        <f>$E26*H70*'Rates - Single'!$E$102/'Rates - Single'!$E$153</f>
        <v>402.73158446400322</v>
      </c>
    </row>
    <row r="27" spans="2:14" ht="15" x14ac:dyDescent="0.25">
      <c r="B27" s="1358">
        <v>2035</v>
      </c>
      <c r="C27" s="1375">
        <f>SUM('Volumes (Project Site)'!C32:D32)</f>
        <v>33304663.127118647</v>
      </c>
      <c r="D27" s="1375">
        <f>C27*'Rates - Single'!$C$204</f>
        <v>3479591.6699974709</v>
      </c>
      <c r="E27" s="1375">
        <f>D27*'Rates - Single'!$C$205</f>
        <v>1043877.5009992413</v>
      </c>
      <c r="F27" s="1375">
        <f>E27/(AVO!$E$13*AVO!$C$8+(1-AVO!$E$13)*AVO!$G$7)</f>
        <v>584914.0312031802</v>
      </c>
      <c r="G27" s="1380">
        <f>E27*('Rates - Single'!$C$210*'Rates - Single'!$C$207+(1-'Rates - Single'!$C$210)*'Rates - Single'!$C$208)</f>
        <v>78290.812574943106</v>
      </c>
      <c r="H27" s="1380">
        <f>E27*'Rates - Single'!$E$45</f>
        <v>666435.99230189901</v>
      </c>
      <c r="I27" s="1380">
        <f>E27*'Rates - Single'!$E$15</f>
        <v>1436.798569421238</v>
      </c>
      <c r="J27" s="1380">
        <f>$E27*D71*'Rates - Single'!$E124/'Rates - Single'!$E$152</f>
        <v>30811.353012818941</v>
      </c>
      <c r="K27" s="1380">
        <f>$E27*E71*'Rates - Single'!$E$98/'Rates - Single'!$E$153</f>
        <v>881.75000222304323</v>
      </c>
      <c r="L27" s="1380">
        <f>$E27*F71*'Rates - Single'!$E$100/'Rates - Single'!$E$153</f>
        <v>5138.3108168214012</v>
      </c>
      <c r="M27" s="1380">
        <f>$E27*G71*'Rates - Single'!$E$101/'Rates - Single'!$E$153</f>
        <v>7151.7145589284664</v>
      </c>
      <c r="N27" s="1380">
        <f>$E27*H71*'Rates - Single'!$E$102/'Rates - Single'!$E$153</f>
        <v>458.94442702003329</v>
      </c>
    </row>
    <row r="28" spans="2:14" ht="15" x14ac:dyDescent="0.25">
      <c r="B28" s="1358">
        <v>2036</v>
      </c>
      <c r="C28" s="1375">
        <f>SUM('Volumes (Project Site)'!C33:D33)</f>
        <v>34004333.811591782</v>
      </c>
      <c r="D28" s="1375">
        <f>C28*'Rates - Single'!$C$204</f>
        <v>3552691.5922558582</v>
      </c>
      <c r="E28" s="1375">
        <f>D28*'Rates - Single'!$C$205</f>
        <v>1065807.4776767574</v>
      </c>
      <c r="F28" s="1375">
        <f>E28/(AVO!$E$13*AVO!$C$8+(1-AVO!$E$13)*AVO!$G$7)</f>
        <v>597202.0161921843</v>
      </c>
      <c r="G28" s="1380">
        <f>E28*('Rates - Single'!$C$210*'Rates - Single'!$C$207+(1-'Rates - Single'!$C$210)*'Rates - Single'!$C$208)</f>
        <v>79935.560825756809</v>
      </c>
      <c r="H28" s="1380">
        <f>E28*'Rates - Single'!$E$45</f>
        <v>680436.60612320271</v>
      </c>
      <c r="I28" s="1380">
        <f>E28*'Rates - Single'!$E$15</f>
        <v>1466.9831064838097</v>
      </c>
      <c r="J28" s="1380">
        <f>$E28*D72*'Rates - Single'!$E125/'Rates - Single'!$E$152</f>
        <v>31966.041245243359</v>
      </c>
      <c r="K28" s="1380">
        <f>$E28*E72*'Rates - Single'!$E$98/'Rates - Single'!$E$153</f>
        <v>900.27397363313798</v>
      </c>
      <c r="L28" s="1380">
        <f>$E28*F72*'Rates - Single'!$E$100/'Rates - Single'!$E$153</f>
        <v>5246.257425754784</v>
      </c>
      <c r="M28" s="1380">
        <f>$E28*G72*'Rates - Single'!$E$101/'Rates - Single'!$E$153</f>
        <v>7301.9591358366024</v>
      </c>
      <c r="N28" s="1380">
        <f>$E28*H72*'Rates - Single'!$E$102/'Rates - Single'!$E$153</f>
        <v>468.58601865429216</v>
      </c>
    </row>
    <row r="29" spans="2:14" ht="15" x14ac:dyDescent="0.25">
      <c r="B29" s="1358">
        <v>2037</v>
      </c>
      <c r="C29" s="1375">
        <f>SUM('Volumes (Project Site)'!C34:D34)</f>
        <v>34704004.496064916</v>
      </c>
      <c r="D29" s="1375">
        <f>C29*'Rates - Single'!$C$204</f>
        <v>3625791.5145142456</v>
      </c>
      <c r="E29" s="1375">
        <f>D29*'Rates - Single'!$C$205</f>
        <v>1087737.4543542736</v>
      </c>
      <c r="F29" s="1375">
        <f>E29/(AVO!$E$13*AVO!$C$8+(1-AVO!$E$13)*AVO!$G$7)</f>
        <v>609490.00118118827</v>
      </c>
      <c r="G29" s="1380">
        <f>E29*('Rates - Single'!$C$210*'Rates - Single'!$C$207+(1-'Rates - Single'!$C$210)*'Rates - Single'!$C$208)</f>
        <v>81580.309076570527</v>
      </c>
      <c r="H29" s="1380">
        <f>E29*'Rates - Single'!$E$45</f>
        <v>694437.21994450642</v>
      </c>
      <c r="I29" s="1380">
        <f>E29*'Rates - Single'!$E$15</f>
        <v>1497.1676435463814</v>
      </c>
      <c r="J29" s="1380">
        <f>$E29*D73*'Rates - Single'!$E126/'Rates - Single'!$E$152</f>
        <v>33141.609824517494</v>
      </c>
      <c r="K29" s="1380">
        <f>$E29*E73*'Rates - Single'!$E$98/'Rates - Single'!$E$153</f>
        <v>918.79794504323286</v>
      </c>
      <c r="L29" s="1380">
        <f>$E29*F73*'Rates - Single'!$E$100/'Rates - Single'!$E$153</f>
        <v>5354.2040346881677</v>
      </c>
      <c r="M29" s="1380">
        <f>$E29*G73*'Rates - Single'!$E$101/'Rates - Single'!$E$153</f>
        <v>7452.2037127447393</v>
      </c>
      <c r="N29" s="1380">
        <f>$E29*H73*'Rates - Single'!$E$102/'Rates - Single'!$E$153</f>
        <v>478.22761028855103</v>
      </c>
    </row>
    <row r="30" spans="2:14" ht="15" x14ac:dyDescent="0.25">
      <c r="B30" s="1358">
        <v>2038</v>
      </c>
      <c r="C30" s="1375">
        <f>SUM('Volumes (Project Site)'!C35:D35)</f>
        <v>35403675.180538058</v>
      </c>
      <c r="D30" s="1375">
        <f>C30*'Rates - Single'!$C$204</f>
        <v>3698891.4367726333</v>
      </c>
      <c r="E30" s="1375">
        <f>D30*'Rates - Single'!$C$205</f>
        <v>1109667.4310317899</v>
      </c>
      <c r="F30" s="1375">
        <f>E30/(AVO!$E$13*AVO!$C$8+(1-AVO!$E$13)*AVO!$G$7)</f>
        <v>621777.98617019237</v>
      </c>
      <c r="G30" s="1380">
        <f>E30*('Rates - Single'!$C$210*'Rates - Single'!$C$207+(1-'Rates - Single'!$C$210)*'Rates - Single'!$C$208)</f>
        <v>83225.057327384246</v>
      </c>
      <c r="H30" s="1380">
        <f>E30*'Rates - Single'!$E$45</f>
        <v>708437.83376581024</v>
      </c>
      <c r="I30" s="1380">
        <f>E30*'Rates - Single'!$E$15</f>
        <v>1527.3521806089534</v>
      </c>
      <c r="J30" s="1380">
        <f>$E30*D74*'Rates - Single'!$E127/'Rates - Single'!$E$152</f>
        <v>34338.058750641343</v>
      </c>
      <c r="K30" s="1380">
        <f>$E30*E74*'Rates - Single'!$E$98/'Rates - Single'!$E$153</f>
        <v>937.32191645332773</v>
      </c>
      <c r="L30" s="1380">
        <f>$E30*F74*'Rates - Single'!$E$100/'Rates - Single'!$E$153</f>
        <v>5462.1506436215514</v>
      </c>
      <c r="M30" s="1380">
        <f>$E30*G74*'Rates - Single'!$E$101/'Rates - Single'!$E$153</f>
        <v>7602.4482896528771</v>
      </c>
      <c r="N30" s="1380">
        <f>$E30*H74*'Rates - Single'!$E$102/'Rates - Single'!$E$153</f>
        <v>487.86920192280996</v>
      </c>
    </row>
    <row r="31" spans="2:14" ht="15" x14ac:dyDescent="0.25">
      <c r="B31" s="1358">
        <v>2039</v>
      </c>
      <c r="C31" s="1375">
        <f>SUM('Volumes (Project Site)'!C36:D36)</f>
        <v>36103345.865011193</v>
      </c>
      <c r="D31" s="1375">
        <f>C31*'Rates - Single'!$C$204</f>
        <v>3771991.3590310207</v>
      </c>
      <c r="E31" s="1375">
        <f>D31*'Rates - Single'!$C$205</f>
        <v>1131597.4077093061</v>
      </c>
      <c r="F31" s="1375">
        <f>E31/(AVO!$E$13*AVO!$C$8+(1-AVO!$E$13)*AVO!$G$7)</f>
        <v>634065.97115919646</v>
      </c>
      <c r="G31" s="1380">
        <f>E31*('Rates - Single'!$C$210*'Rates - Single'!$C$207+(1-'Rates - Single'!$C$210)*'Rates - Single'!$C$208)</f>
        <v>84869.805578197964</v>
      </c>
      <c r="H31" s="1380">
        <f>E31*'Rates - Single'!$E$45</f>
        <v>722438.44758711406</v>
      </c>
      <c r="I31" s="1380">
        <f>E31*'Rates - Single'!$E$15</f>
        <v>1557.5367176715251</v>
      </c>
      <c r="J31" s="1380">
        <f>$E31*D75*'Rates - Single'!$E128/'Rates - Single'!$E$152</f>
        <v>36094.106023972701</v>
      </c>
      <c r="K31" s="1380">
        <f>$E31*E75*'Rates - Single'!$E$98/'Rates - Single'!$E$153</f>
        <v>955.84588786342272</v>
      </c>
      <c r="L31" s="1380">
        <f>$E31*F75*'Rates - Single'!$E$100/'Rates - Single'!$E$153</f>
        <v>5570.0972525549341</v>
      </c>
      <c r="M31" s="1380">
        <f>$E31*G75*'Rates - Single'!$E$101/'Rates - Single'!$E$153</f>
        <v>7752.6928665610139</v>
      </c>
      <c r="N31" s="1380">
        <f>$E31*H75*'Rates - Single'!$E$102/'Rates - Single'!$E$153</f>
        <v>497.51079355706889</v>
      </c>
    </row>
    <row r="32" spans="2:14" ht="15" x14ac:dyDescent="0.25">
      <c r="B32" s="1358">
        <v>2040</v>
      </c>
      <c r="C32" s="1375">
        <f>SUM('Volumes (Project Site)'!C37:D37)</f>
        <v>36803016.54948432</v>
      </c>
      <c r="D32" s="1375">
        <f>C32*'Rates - Single'!$C$204</f>
        <v>3845091.2812894071</v>
      </c>
      <c r="E32" s="1375">
        <f>D32*'Rates - Single'!$C$205</f>
        <v>1153527.3843868221</v>
      </c>
      <c r="F32" s="1375">
        <f>E32/(AVO!$E$13*AVO!$C$8+(1-AVO!$E$13)*AVO!$G$7)</f>
        <v>646353.95614820032</v>
      </c>
      <c r="G32" s="1380">
        <f>E32*('Rates - Single'!$C$210*'Rates - Single'!$C$207+(1-'Rates - Single'!$C$210)*'Rates - Single'!$C$208)</f>
        <v>86514.553829011667</v>
      </c>
      <c r="H32" s="1380">
        <f>E32*'Rates - Single'!$E$45</f>
        <v>736439.06140841765</v>
      </c>
      <c r="I32" s="1380">
        <f>E32*'Rates - Single'!$E$15</f>
        <v>1587.7212547340966</v>
      </c>
      <c r="J32" s="1380">
        <f>$E32*D76*'Rates - Single'!$E129/'Rates - Single'!$E$152</f>
        <v>37342.755817220837</v>
      </c>
      <c r="K32" s="1380">
        <f>$E32*E76*'Rates - Single'!$E$98/'Rates - Single'!$E$153</f>
        <v>974.36985927351725</v>
      </c>
      <c r="L32" s="1380">
        <f>$E32*F76*'Rates - Single'!$E$100/'Rates - Single'!$E$153</f>
        <v>5678.0438614883169</v>
      </c>
      <c r="M32" s="1380">
        <f>$E32*G76*'Rates - Single'!$E$101/'Rates - Single'!$E$153</f>
        <v>7902.937443469149</v>
      </c>
      <c r="N32" s="1380">
        <f>$E32*H76*'Rates - Single'!$E$102/'Rates - Single'!$E$153</f>
        <v>507.15238519132765</v>
      </c>
    </row>
    <row r="33" spans="2:14" ht="15" x14ac:dyDescent="0.25">
      <c r="B33" s="1358">
        <v>2041</v>
      </c>
      <c r="C33" s="1375">
        <f>SUM('Volumes (Project Site)'!C38:D38)</f>
        <v>36803016.54948432</v>
      </c>
      <c r="D33" s="1375">
        <f>C33*'Rates - Single'!$C$204</f>
        <v>3845091.2812894071</v>
      </c>
      <c r="E33" s="1375">
        <f>D33*'Rates - Single'!$C$205</f>
        <v>1153527.3843868221</v>
      </c>
      <c r="F33" s="1375">
        <f>E33/(AVO!$E$13*AVO!$C$8+(1-AVO!$E$13)*AVO!$G$7)</f>
        <v>646353.95614820032</v>
      </c>
      <c r="G33" s="1380">
        <f>E33*('Rates - Single'!$C$210*'Rates - Single'!$C$207+(1-'Rates - Single'!$C$210)*'Rates - Single'!$C$208)</f>
        <v>86514.553829011667</v>
      </c>
      <c r="H33" s="1380">
        <f>E33*'Rates - Single'!$E$45</f>
        <v>736439.06140841765</v>
      </c>
      <c r="I33" s="1380">
        <f>E33*'Rates - Single'!$E$15</f>
        <v>1587.7212547340966</v>
      </c>
      <c r="J33" s="1380">
        <f>$E33*D77*'Rates - Single'!$E130/'Rates - Single'!$E$152</f>
        <v>37891.913991003501</v>
      </c>
      <c r="K33" s="1380">
        <f>$E33*E77*'Rates - Single'!$E$98/'Rates - Single'!$E$153</f>
        <v>974.36985927351725</v>
      </c>
      <c r="L33" s="1380">
        <f>$E33*F77*'Rates - Single'!$E$100/'Rates - Single'!$E$153</f>
        <v>5678.0438614883169</v>
      </c>
      <c r="M33" s="1380">
        <f>$E33*G77*'Rates - Single'!$E$101/'Rates - Single'!$E$153</f>
        <v>7902.937443469149</v>
      </c>
      <c r="N33" s="1380">
        <f>$E33*H77*'Rates - Single'!$E$102/'Rates - Single'!$E$153</f>
        <v>507.15238519132765</v>
      </c>
    </row>
    <row r="34" spans="2:14" ht="15" x14ac:dyDescent="0.25">
      <c r="B34" s="1358">
        <v>2042</v>
      </c>
      <c r="C34" s="1375">
        <f>SUM('Volumes (Project Site)'!C39:D39)</f>
        <v>36803016.54948432</v>
      </c>
      <c r="D34" s="1375">
        <f>C34*'Rates - Single'!$C$204</f>
        <v>3845091.2812894071</v>
      </c>
      <c r="E34" s="1375">
        <f>D34*'Rates - Single'!$C$205</f>
        <v>1153527.3843868221</v>
      </c>
      <c r="F34" s="1375">
        <f>E34/(AVO!$E$13*AVO!$C$8+(1-AVO!$E$13)*AVO!$G$7)</f>
        <v>646353.95614820032</v>
      </c>
      <c r="G34" s="1380">
        <f>E34*('Rates - Single'!$C$210*'Rates - Single'!$C$207+(1-'Rates - Single'!$C$210)*'Rates - Single'!$C$208)</f>
        <v>86514.553829011667</v>
      </c>
      <c r="H34" s="1380">
        <f>E34*'Rates - Single'!$E$45</f>
        <v>736439.06140841765</v>
      </c>
      <c r="I34" s="1380">
        <f>E34*'Rates - Single'!$E$15</f>
        <v>1587.7212547340966</v>
      </c>
      <c r="J34" s="1380">
        <f>$E34*D78*'Rates - Single'!$E131/'Rates - Single'!$E$152</f>
        <v>37891.913991003501</v>
      </c>
      <c r="K34" s="1380">
        <f>$E34*E78*'Rates - Single'!$E$98/'Rates - Single'!$E$153</f>
        <v>974.36985927351725</v>
      </c>
      <c r="L34" s="1380">
        <f>$E34*F78*'Rates - Single'!$E$100/'Rates - Single'!$E$153</f>
        <v>5678.0438614883169</v>
      </c>
      <c r="M34" s="1380">
        <f>$E34*G78*'Rates - Single'!$E$101/'Rates - Single'!$E$153</f>
        <v>7902.937443469149</v>
      </c>
      <c r="N34" s="1380">
        <f>$E34*H78*'Rates - Single'!$E$102/'Rates - Single'!$E$153</f>
        <v>507.15238519132765</v>
      </c>
    </row>
    <row r="35" spans="2:14" ht="15" x14ac:dyDescent="0.25">
      <c r="B35" s="1358">
        <v>2043</v>
      </c>
      <c r="C35" s="1375">
        <f>SUM('Volumes (Project Site)'!C40:D40)</f>
        <v>36803016.54948432</v>
      </c>
      <c r="D35" s="1375">
        <f>C35*'Rates - Single'!$C$204</f>
        <v>3845091.2812894071</v>
      </c>
      <c r="E35" s="1375">
        <f>D35*'Rates - Single'!$C$205</f>
        <v>1153527.3843868221</v>
      </c>
      <c r="F35" s="1375">
        <f>E35/(AVO!$E$13*AVO!$C$8+(1-AVO!$E$13)*AVO!$G$7)</f>
        <v>646353.95614820032</v>
      </c>
      <c r="G35" s="1380">
        <f>E35*('Rates - Single'!$C$210*'Rates - Single'!$C$207+(1-'Rates - Single'!$C$210)*'Rates - Single'!$C$208)</f>
        <v>86514.553829011667</v>
      </c>
      <c r="H35" s="1380">
        <f>E35*'Rates - Single'!$E$45</f>
        <v>736439.06140841765</v>
      </c>
      <c r="I35" s="1380">
        <f>E35*'Rates - Single'!$E$15</f>
        <v>1587.7212547340966</v>
      </c>
      <c r="J35" s="1380">
        <f>$E35*D79*'Rates - Single'!$E132/'Rates - Single'!$E$152</f>
        <v>46093.330577791567</v>
      </c>
      <c r="K35" s="1380">
        <f>$E35*E79*'Rates - Single'!$E$98/'Rates - Single'!$E$153</f>
        <v>1245.2261043694036</v>
      </c>
      <c r="L35" s="1380">
        <f>$E35*F79*'Rates - Single'!$E$100/'Rates - Single'!$E$153</f>
        <v>6374.4105526443363</v>
      </c>
      <c r="M35" s="1380">
        <f>$E35*G79*'Rates - Single'!$E$101/'Rates - Single'!$E$153</f>
        <v>9887.1032008202728</v>
      </c>
      <c r="N35" s="1380">
        <f>$E35*H79*'Rates - Single'!$E$102/'Rates - Single'!$E$153</f>
        <v>606.47023083859244</v>
      </c>
    </row>
    <row r="36" spans="2:14" ht="15" x14ac:dyDescent="0.25">
      <c r="B36" s="1358">
        <v>2044</v>
      </c>
      <c r="C36" s="1375">
        <f>SUM('Volumes (Project Site)'!C41:D41)</f>
        <v>36803016.54948432</v>
      </c>
      <c r="D36" s="1375">
        <f>C36*'Rates - Single'!$C$204</f>
        <v>3845091.2812894071</v>
      </c>
      <c r="E36" s="1375">
        <f>D36*'Rates - Single'!$C$205</f>
        <v>1153527.3843868221</v>
      </c>
      <c r="F36" s="1375">
        <f>E36/(AVO!$E$13*AVO!$C$8+(1-AVO!$E$13)*AVO!$G$7)</f>
        <v>646353.95614820032</v>
      </c>
      <c r="G36" s="1380">
        <f>E36*('Rates - Single'!$C$210*'Rates - Single'!$C$207+(1-'Rates - Single'!$C$210)*'Rates - Single'!$C$208)</f>
        <v>86514.553829011667</v>
      </c>
      <c r="H36" s="1380">
        <f>E36*'Rates - Single'!$E$45</f>
        <v>736439.06140841765</v>
      </c>
      <c r="I36" s="1380">
        <f>E36*'Rates - Single'!$E$15</f>
        <v>1587.7212547340966</v>
      </c>
      <c r="J36" s="1380">
        <f>$E36*D80*'Rates - Single'!$E133/'Rates - Single'!$E$152</f>
        <v>46751.806728902877</v>
      </c>
      <c r="K36" s="1380">
        <f>$E36*E80*'Rates - Single'!$E$98/'Rates - Single'!$E$153</f>
        <v>1245.2261043694036</v>
      </c>
      <c r="L36" s="1380">
        <f>$E36*F80*'Rates - Single'!$E$100/'Rates - Single'!$E$153</f>
        <v>6374.4105526443363</v>
      </c>
      <c r="M36" s="1380">
        <f>$E36*G80*'Rates - Single'!$E$101/'Rates - Single'!$E$153</f>
        <v>9887.1032008202728</v>
      </c>
      <c r="N36" s="1380">
        <f>$E36*H80*'Rates - Single'!$E$102/'Rates - Single'!$E$153</f>
        <v>606.47023083859244</v>
      </c>
    </row>
    <row r="37" spans="2:14" ht="15" x14ac:dyDescent="0.25">
      <c r="B37" s="1358">
        <v>2045</v>
      </c>
      <c r="C37" s="1375">
        <f>SUM('Volumes (Project Site)'!C42:D42)</f>
        <v>36803016.54948432</v>
      </c>
      <c r="D37" s="1375">
        <f>C37*'Rates - Single'!$C$204</f>
        <v>3845091.2812894071</v>
      </c>
      <c r="E37" s="1375">
        <f>D37*'Rates - Single'!$C$205</f>
        <v>1153527.3843868221</v>
      </c>
      <c r="F37" s="1375">
        <f>E37/(AVO!$E$13*AVO!$C$8+(1-AVO!$E$13)*AVO!$G$7)</f>
        <v>646353.95614820032</v>
      </c>
      <c r="G37" s="1380">
        <f>E37*('Rates - Single'!$C$210*'Rates - Single'!$C$207+(1-'Rates - Single'!$C$210)*'Rates - Single'!$C$208)</f>
        <v>86514.553829011667</v>
      </c>
      <c r="H37" s="1380">
        <f>E37*'Rates - Single'!$E$45</f>
        <v>736439.06140841765</v>
      </c>
      <c r="I37" s="1380">
        <f>E37*'Rates - Single'!$E$15</f>
        <v>1587.7212547340966</v>
      </c>
      <c r="J37" s="1380">
        <f>$E37*D81*'Rates - Single'!$E134/'Rates - Single'!$E$152</f>
        <v>47410.28288001418</v>
      </c>
      <c r="K37" s="1380">
        <f>$E37*E81*'Rates - Single'!$E$98/'Rates - Single'!$E$153</f>
        <v>1245.2261043694036</v>
      </c>
      <c r="L37" s="1380">
        <f>$E37*F81*'Rates - Single'!$E$100/'Rates - Single'!$E$153</f>
        <v>6374.4105526443363</v>
      </c>
      <c r="M37" s="1380">
        <f>$E37*G81*'Rates - Single'!$E$101/'Rates - Single'!$E$153</f>
        <v>9887.1032008202728</v>
      </c>
      <c r="N37" s="1380">
        <f>$E37*H81*'Rates - Single'!$E$102/'Rates - Single'!$E$153</f>
        <v>606.47023083859244</v>
      </c>
    </row>
    <row r="38" spans="2:14" ht="15" x14ac:dyDescent="0.25">
      <c r="B38" s="1358">
        <v>2046</v>
      </c>
      <c r="C38" s="1375">
        <f>SUM('Volumes (Project Site)'!C43:D43)</f>
        <v>36803016.54948432</v>
      </c>
      <c r="D38" s="1375">
        <f>C38*'Rates - Single'!$C$204</f>
        <v>3845091.2812894071</v>
      </c>
      <c r="E38" s="1375">
        <f>D38*'Rates - Single'!$C$205</f>
        <v>1153527.3843868221</v>
      </c>
      <c r="F38" s="1375">
        <f>E38/(AVO!$E$13*AVO!$C$8+(1-AVO!$E$13)*AVO!$G$7)</f>
        <v>646353.95614820032</v>
      </c>
      <c r="G38" s="1380">
        <f>E38*('Rates - Single'!$C$210*'Rates - Single'!$C$207+(1-'Rates - Single'!$C$210)*'Rates - Single'!$C$208)</f>
        <v>86514.553829011667</v>
      </c>
      <c r="H38" s="1380">
        <f>E38*'Rates - Single'!$E$45</f>
        <v>736439.06140841765</v>
      </c>
      <c r="I38" s="1380">
        <f>E38*'Rates - Single'!$E$15</f>
        <v>1587.7212547340966</v>
      </c>
      <c r="J38" s="1380">
        <f>$E38*D82*'Rates - Single'!$E135/'Rates - Single'!$E$152</f>
        <v>48068.75903112549</v>
      </c>
      <c r="K38" s="1380">
        <f>$E38*E82*'Rates - Single'!$E$98/'Rates - Single'!$E$153</f>
        <v>1245.2261043694036</v>
      </c>
      <c r="L38" s="1380">
        <f>$E38*F82*'Rates - Single'!$E$100/'Rates - Single'!$E$153</f>
        <v>6374.4105526443363</v>
      </c>
      <c r="M38" s="1380">
        <f>$E38*G82*'Rates - Single'!$E$101/'Rates - Single'!$E$153</f>
        <v>9887.1032008202728</v>
      </c>
      <c r="N38" s="1380">
        <f>$E38*H82*'Rates - Single'!$E$102/'Rates - Single'!$E$153</f>
        <v>606.47023083859244</v>
      </c>
    </row>
    <row r="39" spans="2:14" ht="15" x14ac:dyDescent="0.25">
      <c r="B39" s="1358">
        <v>2047</v>
      </c>
      <c r="C39" s="1375">
        <f>SUM('Volumes (Project Site)'!C44:D44)</f>
        <v>36803016.54948432</v>
      </c>
      <c r="D39" s="1375">
        <f>C39*'Rates - Single'!$C$204</f>
        <v>3845091.2812894071</v>
      </c>
      <c r="E39" s="1375">
        <f>D39*'Rates - Single'!$C$205</f>
        <v>1153527.3843868221</v>
      </c>
      <c r="F39" s="1375">
        <f>E39/(AVO!$E$13*AVO!$C$8+(1-AVO!$E$13)*AVO!$G$7)</f>
        <v>646353.95614820032</v>
      </c>
      <c r="G39" s="1380">
        <f>E39*('Rates - Single'!$C$210*'Rates - Single'!$C$207+(1-'Rates - Single'!$C$210)*'Rates - Single'!$C$208)</f>
        <v>86514.553829011667</v>
      </c>
      <c r="H39" s="1380">
        <f>E39*'Rates - Single'!$E$45</f>
        <v>736439.06140841765</v>
      </c>
      <c r="I39" s="1380">
        <f>E39*'Rates - Single'!$E$15</f>
        <v>1587.7212547340966</v>
      </c>
      <c r="J39" s="1380">
        <f>$E39*D83*'Rates - Single'!$E136/'Rates - Single'!$E$152</f>
        <v>49385.711333348103</v>
      </c>
      <c r="K39" s="1380">
        <f>$E39*E83*'Rates - Single'!$E$98/'Rates - Single'!$E$153</f>
        <v>1245.2261043694036</v>
      </c>
      <c r="L39" s="1380">
        <f>$E39*F83*'Rates - Single'!$E$100/'Rates - Single'!$E$153</f>
        <v>6374.4105526443363</v>
      </c>
      <c r="M39" s="1380">
        <f>$E39*G83*'Rates - Single'!$E$101/'Rates - Single'!$E$153</f>
        <v>9887.1032008202728</v>
      </c>
      <c r="N39" s="1380">
        <f>$E39*H83*'Rates - Single'!$E$102/'Rates - Single'!$E$153</f>
        <v>606.47023083859244</v>
      </c>
    </row>
    <row r="40" spans="2:14" ht="15" x14ac:dyDescent="0.25">
      <c r="B40" s="1358">
        <v>2048</v>
      </c>
      <c r="C40" s="1375">
        <f>SUM('Volumes (Project Site)'!C45:D45)</f>
        <v>36803016.54948432</v>
      </c>
      <c r="D40" s="1375">
        <f>C40*'Rates - Single'!$C$204</f>
        <v>3845091.2812894071</v>
      </c>
      <c r="E40" s="1375">
        <f>D40*'Rates - Single'!$C$205</f>
        <v>1153527.3843868221</v>
      </c>
      <c r="F40" s="1375">
        <f>E40/(AVO!$E$13*AVO!$C$8+(1-AVO!$E$13)*AVO!$G$7)</f>
        <v>646353.95614820032</v>
      </c>
      <c r="G40" s="1380">
        <f>E40*('Rates - Single'!$C$210*'Rates - Single'!$C$207+(1-'Rates - Single'!$C$210)*'Rates - Single'!$C$208)</f>
        <v>86514.553829011667</v>
      </c>
      <c r="H40" s="1380">
        <f>E40*'Rates - Single'!$E$45</f>
        <v>736439.06140841765</v>
      </c>
      <c r="I40" s="1380">
        <f>E40*'Rates - Single'!$E$15</f>
        <v>1587.7212547340966</v>
      </c>
      <c r="J40" s="1380">
        <f>$E40*D84*'Rates - Single'!$E137/'Rates - Single'!$E$152</f>
        <v>50044.187484459413</v>
      </c>
      <c r="K40" s="1380">
        <f>$E40*E84*'Rates - Single'!$E$98/'Rates - Single'!$E$153</f>
        <v>1245.2261043694036</v>
      </c>
      <c r="L40" s="1380">
        <f>$E40*F84*'Rates - Single'!$E$100/'Rates - Single'!$E$153</f>
        <v>6374.4105526443363</v>
      </c>
      <c r="M40" s="1380">
        <f>$E40*G84*'Rates - Single'!$E$101/'Rates - Single'!$E$153</f>
        <v>9887.1032008202728</v>
      </c>
      <c r="N40" s="1380">
        <f>$E40*H84*'Rates - Single'!$E$102/'Rates - Single'!$E$153</f>
        <v>606.47023083859244</v>
      </c>
    </row>
    <row r="41" spans="2:14" ht="15" x14ac:dyDescent="0.25">
      <c r="B41" s="1358">
        <v>2049</v>
      </c>
      <c r="C41" s="1375">
        <f>SUM('Volumes (Project Site)'!C46:D46)</f>
        <v>36803016.54948432</v>
      </c>
      <c r="D41" s="1375">
        <f>C41*'Rates - Single'!$C$204</f>
        <v>3845091.2812894071</v>
      </c>
      <c r="E41" s="1375">
        <f>D41*'Rates - Single'!$C$205</f>
        <v>1153527.3843868221</v>
      </c>
      <c r="F41" s="1375">
        <f>E41/(AVO!$E$13*AVO!$C$8+(1-AVO!$E$13)*AVO!$G$7)</f>
        <v>646353.95614820032</v>
      </c>
      <c r="G41" s="1380">
        <f>E41*('Rates - Single'!$C$210*'Rates - Single'!$C$207+(1-'Rates - Single'!$C$210)*'Rates - Single'!$C$208)</f>
        <v>86514.553829011667</v>
      </c>
      <c r="H41" s="1380">
        <f>E41*'Rates - Single'!$E$45</f>
        <v>736439.06140841765</v>
      </c>
      <c r="I41" s="1380">
        <f>E41*'Rates - Single'!$E$15</f>
        <v>1587.7212547340966</v>
      </c>
      <c r="J41" s="1380">
        <f>$E41*D85*'Rates - Single'!$E138/'Rates - Single'!$E$152</f>
        <v>50702.663635570723</v>
      </c>
      <c r="K41" s="1380">
        <f>$E41*E85*'Rates - Single'!$E$98/'Rates - Single'!$E$153</f>
        <v>1245.2261043694036</v>
      </c>
      <c r="L41" s="1380">
        <f>$E41*F85*'Rates - Single'!$E$100/'Rates - Single'!$E$153</f>
        <v>6374.4105526443363</v>
      </c>
      <c r="M41" s="1380">
        <f>$E41*G85*'Rates - Single'!$E$101/'Rates - Single'!$E$153</f>
        <v>9887.1032008202728</v>
      </c>
      <c r="N41" s="1380">
        <f>$E41*H85*'Rates - Single'!$E$102/'Rates - Single'!$E$153</f>
        <v>606.47023083859244</v>
      </c>
    </row>
    <row r="42" spans="2:14" ht="15" x14ac:dyDescent="0.25">
      <c r="B42" s="1358">
        <v>2050</v>
      </c>
      <c r="C42" s="1375">
        <f>SUM('Volumes (Project Site)'!C47:D47)</f>
        <v>36803016.54948432</v>
      </c>
      <c r="D42" s="1375">
        <f>C42*'Rates - Single'!$C$204</f>
        <v>3845091.2812894071</v>
      </c>
      <c r="E42" s="1375">
        <f>D42*'Rates - Single'!$C$205</f>
        <v>1153527.3843868221</v>
      </c>
      <c r="F42" s="1375">
        <f>E42/(AVO!$E$13*AVO!$C$8+(1-AVO!$E$13)*AVO!$G$7)</f>
        <v>646353.95614820032</v>
      </c>
      <c r="G42" s="1380">
        <f>E42*('Rates - Single'!$C$210*'Rates - Single'!$C$207+(1-'Rates - Single'!$C$210)*'Rates - Single'!$C$208)</f>
        <v>86514.553829011667</v>
      </c>
      <c r="H42" s="1380">
        <f>E42*'Rates - Single'!$E$45</f>
        <v>736439.06140841765</v>
      </c>
      <c r="I42" s="1380">
        <f>E42*'Rates - Single'!$E$15</f>
        <v>1587.7212547340966</v>
      </c>
      <c r="J42" s="1380">
        <f>$E42*D86*'Rates - Single'!$E139/'Rates - Single'!$E$152</f>
        <v>51361.139786682026</v>
      </c>
      <c r="K42" s="1380">
        <f>$E42*E86*'Rates - Single'!$E$98/'Rates - Single'!$E$153</f>
        <v>1245.2261043694036</v>
      </c>
      <c r="L42" s="1380">
        <f>$E42*F86*'Rates - Single'!$E$100/'Rates - Single'!$E$153</f>
        <v>6374.4105526443363</v>
      </c>
      <c r="M42" s="1380">
        <f>$E42*G86*'Rates - Single'!$E$101/'Rates - Single'!$E$153</f>
        <v>9887.1032008202728</v>
      </c>
      <c r="N42" s="1380">
        <f>$E42*H86*'Rates - Single'!$E$102/'Rates - Single'!$E$153</f>
        <v>606.47023083859244</v>
      </c>
    </row>
    <row r="43" spans="2:14" ht="15" x14ac:dyDescent="0.25">
      <c r="B43" s="1358">
        <v>2051</v>
      </c>
      <c r="C43" s="1375">
        <f>SUM('Volumes (Project Site)'!C48:D48)</f>
        <v>36803016.54948432</v>
      </c>
      <c r="D43" s="1375">
        <f>C43*'Rates - Single'!$C$204</f>
        <v>3845091.2812894071</v>
      </c>
      <c r="E43" s="1375">
        <f>D43*'Rates - Single'!$C$205</f>
        <v>1153527.3843868221</v>
      </c>
      <c r="F43" s="1375">
        <f>E43/(AVO!$E$13*AVO!$C$8+(1-AVO!$E$13)*AVO!$G$7)</f>
        <v>646353.95614820032</v>
      </c>
      <c r="G43" s="1380">
        <f>E43*('Rates - Single'!$C$210*'Rates - Single'!$C$207+(1-'Rates - Single'!$C$210)*'Rates - Single'!$C$208)</f>
        <v>86514.553829011667</v>
      </c>
      <c r="H43" s="1380">
        <f>E43*'Rates - Single'!$E$45</f>
        <v>736439.06140841765</v>
      </c>
      <c r="I43" s="1380">
        <f>E43*'Rates - Single'!$E$15</f>
        <v>1587.7212547340966</v>
      </c>
      <c r="J43" s="1380">
        <f>$E43*D87*'Rates - Single'!$E140/'Rates - Single'!$E$152</f>
        <v>52313.642464830154</v>
      </c>
      <c r="K43" s="1380">
        <f>$E43*E87*'Rates - Single'!$E$98/'Rates - Single'!$E$153</f>
        <v>1245.2261043694036</v>
      </c>
      <c r="L43" s="1380">
        <f>$E43*F87*'Rates - Single'!$E$100/'Rates - Single'!$E$153</f>
        <v>6374.4105526443363</v>
      </c>
      <c r="M43" s="1380">
        <f>$E43*G87*'Rates - Single'!$E$101/'Rates - Single'!$E$153</f>
        <v>9887.1032008202728</v>
      </c>
      <c r="N43" s="1380">
        <f>$E43*H87*'Rates - Single'!$E$102/'Rates - Single'!$E$153</f>
        <v>606.47023083859244</v>
      </c>
    </row>
    <row r="44" spans="2:14" ht="15" x14ac:dyDescent="0.25">
      <c r="B44" s="1358">
        <v>2052</v>
      </c>
      <c r="C44" s="1375">
        <f>SUM('Volumes (Project Site)'!C49:D49)</f>
        <v>36803016.54948432</v>
      </c>
      <c r="D44" s="1375">
        <f>C44*'Rates - Single'!$C$204</f>
        <v>3845091.2812894071</v>
      </c>
      <c r="E44" s="1375">
        <f>D44*'Rates - Single'!$C$205</f>
        <v>1153527.3843868221</v>
      </c>
      <c r="F44" s="1375">
        <f>E44/(AVO!$E$13*AVO!$C$8+(1-AVO!$E$13)*AVO!$G$7)</f>
        <v>646353.95614820032</v>
      </c>
      <c r="G44" s="1380">
        <f>E44*('Rates - Single'!$C$210*'Rates - Single'!$C$207+(1-'Rates - Single'!$C$210)*'Rates - Single'!$C$208)</f>
        <v>86514.553829011667</v>
      </c>
      <c r="H44" s="1380">
        <f>E44*'Rates - Single'!$E$45</f>
        <v>736439.06140841765</v>
      </c>
      <c r="I44" s="1380">
        <f>E44*'Rates - Single'!$E$15</f>
        <v>1587.7212547340966</v>
      </c>
      <c r="J44" s="1380">
        <f>$E44*D88*'Rates - Single'!$E141/'Rates - Single'!$E$152</f>
        <v>53283.809496916831</v>
      </c>
      <c r="K44" s="1380">
        <f>$E44*E88*'Rates - Single'!$E$98/'Rates - Single'!$E$153</f>
        <v>1245.2261043694036</v>
      </c>
      <c r="L44" s="1380">
        <f>$E44*F88*'Rates - Single'!$E$100/'Rates - Single'!$E$153</f>
        <v>6374.4105526443363</v>
      </c>
      <c r="M44" s="1380">
        <f>$E44*G88*'Rates - Single'!$E$101/'Rates - Single'!$E$153</f>
        <v>9887.1032008202728</v>
      </c>
      <c r="N44" s="1380">
        <f>$E44*H88*'Rates - Single'!$E$102/'Rates - Single'!$E$153</f>
        <v>606.47023083859244</v>
      </c>
    </row>
    <row r="45" spans="2:14" ht="15" x14ac:dyDescent="0.25">
      <c r="B45" s="1358">
        <v>2053</v>
      </c>
      <c r="C45" s="1375">
        <f>SUM('Volumes (Project Site)'!C50:D50)</f>
        <v>36803016.54948432</v>
      </c>
      <c r="D45" s="1375">
        <f>C45*'Rates - Single'!$C$204</f>
        <v>3845091.2812894071</v>
      </c>
      <c r="E45" s="1375">
        <f>D45*'Rates - Single'!$C$205</f>
        <v>1153527.3843868221</v>
      </c>
      <c r="F45" s="1375">
        <f>E45/(AVO!$E$13*AVO!$C$8+(1-AVO!$E$13)*AVO!$G$7)</f>
        <v>646353.95614820032</v>
      </c>
      <c r="G45" s="1380">
        <f>E45*('Rates - Single'!$C$210*'Rates - Single'!$C$207+(1-'Rates - Single'!$C$210)*'Rates - Single'!$C$208)</f>
        <v>86514.553829011667</v>
      </c>
      <c r="H45" s="1380">
        <f>E45*'Rates - Single'!$E$45</f>
        <v>736439.06140841765</v>
      </c>
      <c r="I45" s="1380">
        <f>E45*'Rates - Single'!$E$15</f>
        <v>1587.7212547340966</v>
      </c>
      <c r="J45" s="1380">
        <f>$E45*D89*'Rates - Single'!$E142/'Rates - Single'!$E$152</f>
        <v>54271.968471942295</v>
      </c>
      <c r="K45" s="1380">
        <f>$E45*E89*'Rates - Single'!$E$98/'Rates - Single'!$E$153</f>
        <v>1245.2261043694036</v>
      </c>
      <c r="L45" s="1380">
        <f>$E45*F89*'Rates - Single'!$E$100/'Rates - Single'!$E$153</f>
        <v>6374.4105526443363</v>
      </c>
      <c r="M45" s="1380">
        <f>$E45*G89*'Rates - Single'!$E$101/'Rates - Single'!$E$153</f>
        <v>9887.1032008202728</v>
      </c>
      <c r="N45" s="1380">
        <f>$E45*H89*'Rates - Single'!$E$102/'Rates - Single'!$E$153</f>
        <v>606.47023083859244</v>
      </c>
    </row>
    <row r="46" spans="2:14" ht="15" x14ac:dyDescent="0.25">
      <c r="B46" s="1358">
        <v>2054</v>
      </c>
      <c r="C46" s="1375">
        <f>SUM('Volumes (Project Site)'!C51:D51)</f>
        <v>36803016.54948432</v>
      </c>
      <c r="D46" s="1375">
        <f>C46*'Rates - Single'!$C$204</f>
        <v>3845091.2812894071</v>
      </c>
      <c r="E46" s="1375">
        <f>D46*'Rates - Single'!$C$205</f>
        <v>1153527.3843868221</v>
      </c>
      <c r="F46" s="1375">
        <f>E46/(AVO!$E$13*AVO!$C$8+(1-AVO!$E$13)*AVO!$G$7)</f>
        <v>646353.95614820032</v>
      </c>
      <c r="G46" s="1380">
        <f>E46*('Rates - Single'!$C$210*'Rates - Single'!$C$207+(1-'Rates - Single'!$C$210)*'Rates - Single'!$C$208)</f>
        <v>86514.553829011667</v>
      </c>
      <c r="H46" s="1380">
        <f>E46*'Rates - Single'!$E$45</f>
        <v>736439.06140841765</v>
      </c>
      <c r="I46" s="1380">
        <f>E46*'Rates - Single'!$E$15</f>
        <v>1587.7212547340966</v>
      </c>
      <c r="J46" s="1380">
        <f>$E46*D90*'Rates - Single'!$E143/'Rates - Single'!$E$152</f>
        <v>55278.453054110774</v>
      </c>
      <c r="K46" s="1380">
        <f>$E46*E90*'Rates - Single'!$E$98/'Rates - Single'!$E$153</f>
        <v>1245.2261043694036</v>
      </c>
      <c r="L46" s="1380">
        <f>$E46*F90*'Rates - Single'!$E$100/'Rates - Single'!$E$153</f>
        <v>6374.4105526443363</v>
      </c>
      <c r="M46" s="1380">
        <f>$E46*G90*'Rates - Single'!$E$101/'Rates - Single'!$E$153</f>
        <v>9887.1032008202728</v>
      </c>
      <c r="N46" s="1380">
        <f>$E46*H90*'Rates - Single'!$E$102/'Rates - Single'!$E$153</f>
        <v>606.47023083859244</v>
      </c>
    </row>
    <row r="47" spans="2:14" ht="15" x14ac:dyDescent="0.25">
      <c r="B47" s="1358">
        <v>2055</v>
      </c>
      <c r="C47" s="1375">
        <f>SUM('Volumes (Project Site)'!C52:D52)</f>
        <v>36803016.54948432</v>
      </c>
      <c r="D47" s="1375">
        <f>C47*'Rates - Single'!$C$204</f>
        <v>3845091.2812894071</v>
      </c>
      <c r="E47" s="1375">
        <f>D47*'Rates - Single'!$C$205</f>
        <v>1153527.3843868221</v>
      </c>
      <c r="F47" s="1375">
        <f>E47/(AVO!$E$13*AVO!$C$8+(1-AVO!$E$13)*AVO!$G$7)</f>
        <v>646353.95614820032</v>
      </c>
      <c r="G47" s="1380">
        <f>E47*('Rates - Single'!$C$210*'Rates - Single'!$C$207+(1-'Rates - Single'!$C$210)*'Rates - Single'!$C$208)</f>
        <v>86514.553829011667</v>
      </c>
      <c r="H47" s="1380">
        <f>E47*'Rates - Single'!$E$45</f>
        <v>736439.06140841765</v>
      </c>
      <c r="I47" s="1380">
        <f>E47*'Rates - Single'!$E$15</f>
        <v>1587.7212547340966</v>
      </c>
      <c r="J47" s="1380">
        <f>$E47*D91*'Rates - Single'!$E144/'Rates - Single'!$E$152</f>
        <v>56303.603095496313</v>
      </c>
      <c r="K47" s="1380">
        <f>$E47*E91*'Rates - Single'!$E$98/'Rates - Single'!$E$153</f>
        <v>1245.2261043694036</v>
      </c>
      <c r="L47" s="1380">
        <f>$E47*F91*'Rates - Single'!$E$100/'Rates - Single'!$E$153</f>
        <v>6374.4105526443363</v>
      </c>
      <c r="M47" s="1380">
        <f>$E47*G91*'Rates - Single'!$E$101/'Rates - Single'!$E$153</f>
        <v>9887.1032008202728</v>
      </c>
      <c r="N47" s="1380">
        <f>$E47*H91*'Rates - Single'!$E$102/'Rates - Single'!$E$153</f>
        <v>606.47023083859244</v>
      </c>
    </row>
    <row r="48" spans="2:14" ht="15" x14ac:dyDescent="0.25">
      <c r="B48" s="1358">
        <v>2056</v>
      </c>
      <c r="C48" s="1375">
        <f>SUM('Volumes (Project Site)'!C53:D53)</f>
        <v>36803016.54948432</v>
      </c>
      <c r="D48" s="1375">
        <f>C48*'Rates - Single'!$C$204</f>
        <v>3845091.2812894071</v>
      </c>
      <c r="E48" s="1375">
        <f>D48*'Rates - Single'!$C$205</f>
        <v>1153527.3843868221</v>
      </c>
      <c r="F48" s="1375">
        <f>E48/(AVO!$E$13*AVO!$C$8+(1-AVO!$E$13)*AVO!$G$7)</f>
        <v>646353.95614820032</v>
      </c>
      <c r="G48" s="1380">
        <f>E48*('Rates - Single'!$C$210*'Rates - Single'!$C$207+(1-'Rates - Single'!$C$210)*'Rates - Single'!$C$208)</f>
        <v>86514.553829011667</v>
      </c>
      <c r="H48" s="1380">
        <f>E48*'Rates - Single'!$E$45</f>
        <v>736439.06140841765</v>
      </c>
      <c r="I48" s="1380">
        <f>E48*'Rates - Single'!$E$15</f>
        <v>1587.7212547340966</v>
      </c>
      <c r="J48" s="1380">
        <f>$E48*D92*'Rates - Single'!$E145/'Rates - Single'!$E$152</f>
        <v>57347.764750798109</v>
      </c>
      <c r="K48" s="1380">
        <f>$E48*E92*'Rates - Single'!$E$98/'Rates - Single'!$E$153</f>
        <v>1245.2261043694036</v>
      </c>
      <c r="L48" s="1380">
        <f>$E48*F92*'Rates - Single'!$E$100/'Rates - Single'!$E$153</f>
        <v>6374.4105526443363</v>
      </c>
      <c r="M48" s="1380">
        <f>$E48*G92*'Rates - Single'!$E$101/'Rates - Single'!$E$153</f>
        <v>9887.1032008202728</v>
      </c>
      <c r="N48" s="1380">
        <f>$E48*H92*'Rates - Single'!$E$102/'Rates - Single'!$E$153</f>
        <v>606.47023083859244</v>
      </c>
    </row>
    <row r="49" spans="2:14" ht="15" x14ac:dyDescent="0.25">
      <c r="B49" s="1358">
        <v>2057</v>
      </c>
      <c r="C49" s="1375">
        <f>SUM('Volumes (Project Site)'!C54:D54)</f>
        <v>36803016.54948432</v>
      </c>
      <c r="D49" s="1375">
        <f>C49*'Rates - Single'!$C$204</f>
        <v>3845091.2812894071</v>
      </c>
      <c r="E49" s="1375">
        <f>D49*'Rates - Single'!$C$205</f>
        <v>1153527.3843868221</v>
      </c>
      <c r="F49" s="1375">
        <f>E49/(AVO!$E$13*AVO!$C$8+(1-AVO!$E$13)*AVO!$G$7)</f>
        <v>646353.95614820032</v>
      </c>
      <c r="G49" s="1380">
        <f>E49*('Rates - Single'!$C$210*'Rates - Single'!$C$207+(1-'Rates - Single'!$C$210)*'Rates - Single'!$C$208)</f>
        <v>86514.553829011667</v>
      </c>
      <c r="H49" s="1380">
        <f>E49*'Rates - Single'!$E$45</f>
        <v>736439.06140841765</v>
      </c>
      <c r="I49" s="1380">
        <f>E49*'Rates - Single'!$E$15</f>
        <v>1587.7212547340966</v>
      </c>
      <c r="J49" s="1380">
        <f>$E49*D93*'Rates - Single'!$E146/'Rates - Single'!$E$152</f>
        <v>58411.290594223952</v>
      </c>
      <c r="K49" s="1380">
        <f>$E49*E93*'Rates - Single'!$E$98/'Rates - Single'!$E$153</f>
        <v>1245.2261043694036</v>
      </c>
      <c r="L49" s="1380">
        <f>$E49*F93*'Rates - Single'!$E$100/'Rates - Single'!$E$153</f>
        <v>6374.4105526443363</v>
      </c>
      <c r="M49" s="1380">
        <f>$E49*G93*'Rates - Single'!$E$101/'Rates - Single'!$E$153</f>
        <v>9887.1032008202728</v>
      </c>
      <c r="N49" s="1380">
        <f>$E49*H93*'Rates - Single'!$E$102/'Rates - Single'!$E$153</f>
        <v>606.47023083859244</v>
      </c>
    </row>
    <row r="50" spans="2:14" ht="15" x14ac:dyDescent="0.25">
      <c r="B50" s="1358">
        <v>2058</v>
      </c>
      <c r="C50" s="1375">
        <f>SUM('Volumes (Project Site)'!C55:D55)</f>
        <v>36803016.54948432</v>
      </c>
      <c r="D50" s="1375">
        <f>C50*'Rates - Single'!$C$204</f>
        <v>3845091.2812894071</v>
      </c>
      <c r="E50" s="1375">
        <f>D50*'Rates - Single'!$C$205</f>
        <v>1153527.3843868221</v>
      </c>
      <c r="F50" s="1375">
        <f>E50/(AVO!$E$13*AVO!$C$8+(1-AVO!$E$13)*AVO!$G$7)</f>
        <v>646353.95614820032</v>
      </c>
      <c r="G50" s="1380">
        <f>E50*('Rates - Single'!$C$210*'Rates - Single'!$C$207+(1-'Rates - Single'!$C$210)*'Rates - Single'!$C$208)</f>
        <v>86514.553829011667</v>
      </c>
      <c r="H50" s="1380">
        <f>E50*'Rates - Single'!$E$45</f>
        <v>736439.06140841765</v>
      </c>
      <c r="I50" s="1380">
        <f>E50*'Rates - Single'!$E$15</f>
        <v>1587.7212547340966</v>
      </c>
      <c r="J50" s="1380">
        <f>$E50*D94*'Rates - Single'!$E147/'Rates - Single'!$E$152</f>
        <v>59494.539738541287</v>
      </c>
      <c r="K50" s="1380">
        <f>$E50*E94*'Rates - Single'!$E$98/'Rates - Single'!$E$153</f>
        <v>1245.2261043694036</v>
      </c>
      <c r="L50" s="1380">
        <f>$E50*F94*'Rates - Single'!$E$100/'Rates - Single'!$E$153</f>
        <v>6374.4105526443363</v>
      </c>
      <c r="M50" s="1380">
        <f>$E50*G94*'Rates - Single'!$E$101/'Rates - Single'!$E$153</f>
        <v>9887.1032008202728</v>
      </c>
      <c r="N50" s="1380">
        <f>$E50*H94*'Rates - Single'!$E$102/'Rates - Single'!$E$153</f>
        <v>606.47023083859244</v>
      </c>
    </row>
    <row r="51" spans="2:14" ht="15" x14ac:dyDescent="0.25">
      <c r="B51" s="1358">
        <v>2059</v>
      </c>
      <c r="C51" s="1375">
        <f>SUM('Volumes (Project Site)'!C56:D56)</f>
        <v>36803016.54948432</v>
      </c>
      <c r="D51" s="1375">
        <f>C51*'Rates - Single'!$C$204</f>
        <v>3845091.2812894071</v>
      </c>
      <c r="E51" s="1375">
        <f>D51*'Rates - Single'!$C$205</f>
        <v>1153527.3843868221</v>
      </c>
      <c r="F51" s="1375">
        <f>E51/(AVO!$E$13*AVO!$C$8+(1-AVO!$E$13)*AVO!$G$7)</f>
        <v>646353.95614820032</v>
      </c>
      <c r="G51" s="1380">
        <f>E51*('Rates - Single'!$C$210*'Rates - Single'!$C$207+(1-'Rates - Single'!$C$210)*'Rates - Single'!$C$208)</f>
        <v>86514.553829011667</v>
      </c>
      <c r="H51" s="1380">
        <f>E51*'Rates - Single'!$E$45</f>
        <v>736439.06140841765</v>
      </c>
      <c r="I51" s="1380">
        <f>E51*'Rates - Single'!$E$15</f>
        <v>1587.7212547340966</v>
      </c>
      <c r="J51" s="1380">
        <f>$E51*D95*'Rates - Single'!$E148/'Rates - Single'!$E$152</f>
        <v>60597.877956336146</v>
      </c>
      <c r="K51" s="1380">
        <f>$E51*E95*'Rates - Single'!$E$98/'Rates - Single'!$E$153</f>
        <v>1245.2261043694036</v>
      </c>
      <c r="L51" s="1380">
        <f>$E51*F95*'Rates - Single'!$E$100/'Rates - Single'!$E$153</f>
        <v>6374.4105526443363</v>
      </c>
      <c r="M51" s="1380">
        <f>$E51*G95*'Rates - Single'!$E$101/'Rates - Single'!$E$153</f>
        <v>9887.1032008202728</v>
      </c>
      <c r="N51" s="1380">
        <f>$E51*H95*'Rates - Single'!$E$102/'Rates - Single'!$E$153</f>
        <v>606.47023083859244</v>
      </c>
    </row>
    <row r="52" spans="2:14" ht="15" x14ac:dyDescent="0.25">
      <c r="B52" s="1358">
        <v>2060</v>
      </c>
      <c r="C52" s="1375">
        <f>SUM('Volumes (Project Site)'!C57:D57)</f>
        <v>36803016.54948432</v>
      </c>
      <c r="D52" s="1375">
        <f>C52*'Rates - Single'!$C$204</f>
        <v>3845091.2812894071</v>
      </c>
      <c r="E52" s="1375">
        <f>D52*'Rates - Single'!$C$205</f>
        <v>1153527.3843868221</v>
      </c>
      <c r="F52" s="1375">
        <f>E52/(AVO!$E$13*AVO!$C$8+(1-AVO!$E$13)*AVO!$G$7)</f>
        <v>646353.95614820032</v>
      </c>
      <c r="G52" s="1380">
        <f>E52*('Rates - Single'!$C$210*'Rates - Single'!$C$207+(1-'Rates - Single'!$C$210)*'Rates - Single'!$C$208)</f>
        <v>86514.553829011667</v>
      </c>
      <c r="H52" s="1380">
        <f>E52*'Rates - Single'!$E$45</f>
        <v>736439.06140841765</v>
      </c>
      <c r="I52" s="1380">
        <f>E52*'Rates - Single'!$E$15</f>
        <v>1587.7212547340966</v>
      </c>
      <c r="J52" s="1380">
        <f>$E52*D96*'Rates - Single'!$E149/'Rates - Single'!$E$152</f>
        <v>61721.677803520804</v>
      </c>
      <c r="K52" s="1380">
        <f>$E52*E96*'Rates - Single'!$E$98/'Rates - Single'!$E$153</f>
        <v>1245.2261043694036</v>
      </c>
      <c r="L52" s="1380">
        <f>$E52*F96*'Rates - Single'!$E$100/'Rates - Single'!$E$153</f>
        <v>6374.4105526443363</v>
      </c>
      <c r="M52" s="1380">
        <f>$E52*G96*'Rates - Single'!$E$101/'Rates - Single'!$E$153</f>
        <v>9887.1032008202728</v>
      </c>
      <c r="N52" s="1380">
        <f>$E52*H96*'Rates - Single'!$E$102/'Rates - Single'!$E$153</f>
        <v>606.47023083859244</v>
      </c>
    </row>
    <row r="53" spans="2:14" ht="15.75" thickBot="1" x14ac:dyDescent="0.3">
      <c r="B53" s="1363">
        <v>2061</v>
      </c>
      <c r="C53" s="1376">
        <f>SUM('Volumes (Project Site)'!C58:D58)</f>
        <v>36803016.54948432</v>
      </c>
      <c r="D53" s="1376">
        <f>C53*'Rates - Single'!$C$204</f>
        <v>3845091.2812894071</v>
      </c>
      <c r="E53" s="1376">
        <f>D53*'Rates - Single'!$C$205</f>
        <v>1153527.3843868221</v>
      </c>
      <c r="F53" s="1376">
        <f>E53/(AVO!$E$13*AVO!$C$8+(1-AVO!$E$13)*AVO!$G$7)</f>
        <v>646353.95614820032</v>
      </c>
      <c r="G53" s="1381">
        <f>E53*('Rates - Single'!$C$210*'Rates - Single'!$C$207+(1-'Rates - Single'!$C$210)*'Rates - Single'!$C$208)</f>
        <v>86514.553829011667</v>
      </c>
      <c r="H53" s="1381">
        <f>E53*'Rates - Single'!$E$45</f>
        <v>736439.06140841765</v>
      </c>
      <c r="I53" s="1381">
        <f>E53*'Rates - Single'!$E$15</f>
        <v>1587.7212547340966</v>
      </c>
      <c r="J53" s="1381">
        <f>$E53*D97*'Rates - Single'!$E150/'Rates - Single'!$E$152</f>
        <v>62866.318745131932</v>
      </c>
      <c r="K53" s="1381">
        <f>$E53*E97*'Rates - Single'!$E$98/'Rates - Single'!$E$153</f>
        <v>1245.2261043694036</v>
      </c>
      <c r="L53" s="1381">
        <f>$E53*F97*'Rates - Single'!$E$100/'Rates - Single'!$E$153</f>
        <v>6374.4105526443363</v>
      </c>
      <c r="M53" s="1381">
        <f>$E53*G97*'Rates - Single'!$E$101/'Rates - Single'!$E$153</f>
        <v>9887.1032008202728</v>
      </c>
      <c r="N53" s="1381">
        <f>$E53*H97*'Rates - Single'!$E$102/'Rates - Single'!$E$153</f>
        <v>606.47023083859244</v>
      </c>
    </row>
    <row r="54" spans="2:14" ht="13.5" thickTop="1" x14ac:dyDescent="0.25">
      <c r="B54" s="1366" t="s">
        <v>508</v>
      </c>
      <c r="C54" s="1366"/>
      <c r="D54" s="1366"/>
      <c r="E54" s="1366"/>
      <c r="F54" s="1366"/>
      <c r="G54" s="1366"/>
    </row>
    <row r="56" spans="2:14" x14ac:dyDescent="0.25">
      <c r="C56" s="1382" t="s">
        <v>804</v>
      </c>
      <c r="D56" s="1383" t="s">
        <v>808</v>
      </c>
      <c r="E56" s="1383"/>
      <c r="F56" s="1383"/>
      <c r="G56" s="1383"/>
      <c r="H56" s="1383"/>
    </row>
    <row r="57" spans="2:14" ht="15" x14ac:dyDescent="0.25">
      <c r="B57" s="1379" t="s">
        <v>7</v>
      </c>
      <c r="C57" s="1379" t="s">
        <v>805</v>
      </c>
      <c r="D57" s="1379" t="s">
        <v>501</v>
      </c>
      <c r="E57" s="1379" t="s">
        <v>78</v>
      </c>
      <c r="F57" s="1379" t="s">
        <v>502</v>
      </c>
      <c r="G57" s="1379" t="s">
        <v>76</v>
      </c>
      <c r="H57" s="1379" t="s">
        <v>503</v>
      </c>
    </row>
    <row r="58" spans="2:14" ht="15" x14ac:dyDescent="0.25">
      <c r="B58" s="1358">
        <v>2022</v>
      </c>
      <c r="C58" s="1384">
        <f>'TDM Summary'!L3</f>
        <v>33.212610788632837</v>
      </c>
      <c r="D58" s="1385">
        <f>VLOOKUP($C58,'EmissRates MOVES2014'!$C$5:$M$20,4)</f>
        <v>397.16527948917314</v>
      </c>
      <c r="E58" s="1385">
        <f>VLOOKUP(C58,'EmissRates MOVES2014'!$C$53:$M$68,4)</f>
        <v>0.32049321607706516</v>
      </c>
      <c r="F58" s="1385">
        <f>VLOOKUP(C58,'EmissRates MOVES2014'!$C$21:$M$36,4)</f>
        <v>0.62833563333131703</v>
      </c>
      <c r="G58" s="1385">
        <f>VLOOKUP(C58,'EmissRates MOVES2014'!$C$37:$M$52,4)</f>
        <v>1.5245857223636593E-2</v>
      </c>
      <c r="H58" s="1386">
        <f>VLOOKUP(C58,'EmissRates MOVES2014'!$C$69:$M$84,4)</f>
        <v>7.7653345182478045E-3</v>
      </c>
    </row>
    <row r="59" spans="2:14" ht="15" x14ac:dyDescent="0.25">
      <c r="B59" s="1358">
        <v>2023</v>
      </c>
      <c r="C59" s="1384">
        <f>'TDM Summary'!L4</f>
        <v>32.577211898587692</v>
      </c>
      <c r="D59" s="1385">
        <f>VLOOKUP($C59,'EmissRates MOVES2014'!$C$5:$M$20,4)</f>
        <v>397.16527948917314</v>
      </c>
      <c r="E59" s="1385">
        <f>VLOOKUP(C59,'EmissRates MOVES2014'!$C$53:$M$68,4)</f>
        <v>0.32049321607706516</v>
      </c>
      <c r="F59" s="1385">
        <f>VLOOKUP(C59,'EmissRates MOVES2014'!$C$21:$M$36,4)</f>
        <v>0.62833563333131703</v>
      </c>
      <c r="G59" s="1385">
        <f>VLOOKUP(C59,'EmissRates MOVES2014'!$C$37:$M$52,4)</f>
        <v>1.5245857223636593E-2</v>
      </c>
      <c r="H59" s="1386">
        <f>VLOOKUP(C59,'EmissRates MOVES2014'!$C$69:$M$84,4)</f>
        <v>7.7653345182478045E-3</v>
      </c>
    </row>
    <row r="60" spans="2:14" ht="15" x14ac:dyDescent="0.25">
      <c r="B60" s="1358">
        <v>2024</v>
      </c>
      <c r="C60" s="1384">
        <f>'TDM Summary'!L5</f>
        <v>31.94181300854255</v>
      </c>
      <c r="D60" s="1385">
        <f>VLOOKUP($C60,'EmissRates MOVES2014'!$C$5:$M$20,4)</f>
        <v>397.16527948917314</v>
      </c>
      <c r="E60" s="1385">
        <f>VLOOKUP(C60,'EmissRates MOVES2014'!$C$53:$M$68,4)</f>
        <v>0.32049321607706516</v>
      </c>
      <c r="F60" s="1385">
        <f>VLOOKUP(C60,'EmissRates MOVES2014'!$C$21:$M$36,4)</f>
        <v>0.62833563333131703</v>
      </c>
      <c r="G60" s="1385">
        <f>VLOOKUP(C60,'EmissRates MOVES2014'!$C$37:$M$52,4)</f>
        <v>1.5245857223636593E-2</v>
      </c>
      <c r="H60" s="1386">
        <f>VLOOKUP(C60,'EmissRates MOVES2014'!$C$69:$M$84,4)</f>
        <v>7.7653345182478045E-3</v>
      </c>
    </row>
    <row r="61" spans="2:14" ht="15" x14ac:dyDescent="0.25">
      <c r="B61" s="1358">
        <v>2025</v>
      </c>
      <c r="C61" s="1384">
        <f>'TDM Summary'!L6</f>
        <v>31.306414118497408</v>
      </c>
      <c r="D61" s="1385">
        <f>VLOOKUP($C61,'EmissRates MOVES2014'!$C$5:$M$20,4)</f>
        <v>397.16527948917314</v>
      </c>
      <c r="E61" s="1385">
        <f>VLOOKUP(C61,'EmissRates MOVES2014'!$C$53:$M$68,4)</f>
        <v>0.32049321607706516</v>
      </c>
      <c r="F61" s="1385">
        <f>VLOOKUP(C61,'EmissRates MOVES2014'!$C$21:$M$36,4)</f>
        <v>0.62833563333131703</v>
      </c>
      <c r="G61" s="1385">
        <f>VLOOKUP(C61,'EmissRates MOVES2014'!$C$37:$M$52,4)</f>
        <v>1.5245857223636593E-2</v>
      </c>
      <c r="H61" s="1386">
        <f>VLOOKUP(C61,'EmissRates MOVES2014'!$C$69:$M$84,4)</f>
        <v>7.7653345182478045E-3</v>
      </c>
    </row>
    <row r="62" spans="2:14" ht="15" x14ac:dyDescent="0.25">
      <c r="B62" s="1358">
        <v>2026</v>
      </c>
      <c r="C62" s="1384">
        <f>'TDM Summary'!L7</f>
        <v>30.671015228452266</v>
      </c>
      <c r="D62" s="1385">
        <f>VLOOKUP($C62,'EmissRates MOVES2014'!$C$5:$M$20,4)</f>
        <v>397.16527948917314</v>
      </c>
      <c r="E62" s="1385">
        <f>VLOOKUP(C62,'EmissRates MOVES2014'!$C$53:$M$68,4)</f>
        <v>0.32049321607706516</v>
      </c>
      <c r="F62" s="1385">
        <f>VLOOKUP(C62,'EmissRates MOVES2014'!$C$21:$M$36,4)</f>
        <v>0.62833563333131703</v>
      </c>
      <c r="G62" s="1385">
        <f>VLOOKUP(C62,'EmissRates MOVES2014'!$C$37:$M$52,4)</f>
        <v>1.5245857223636593E-2</v>
      </c>
      <c r="H62" s="1386">
        <f>VLOOKUP(C62,'EmissRates MOVES2014'!$C$69:$M$84,4)</f>
        <v>7.7653345182478045E-3</v>
      </c>
      <c r="J62" s="1339" t="s">
        <v>475</v>
      </c>
    </row>
    <row r="63" spans="2:14" ht="15" x14ac:dyDescent="0.25">
      <c r="B63" s="1358">
        <v>2027</v>
      </c>
      <c r="C63" s="1384">
        <f>'TDM Summary'!L8</f>
        <v>30.035616338407124</v>
      </c>
      <c r="D63" s="1385">
        <f>VLOOKUP($C63,'EmissRates MOVES2014'!$C$5:$M$20,4)</f>
        <v>397.16527948917314</v>
      </c>
      <c r="E63" s="1385">
        <f>VLOOKUP(C63,'EmissRates MOVES2014'!$C$53:$M$68,4)</f>
        <v>0.32049321607706516</v>
      </c>
      <c r="F63" s="1385">
        <f>VLOOKUP(C63,'EmissRates MOVES2014'!$C$21:$M$36,4)</f>
        <v>0.62833563333131703</v>
      </c>
      <c r="G63" s="1385">
        <f>VLOOKUP(C63,'EmissRates MOVES2014'!$C$37:$M$52,4)</f>
        <v>1.5245857223636593E-2</v>
      </c>
      <c r="H63" s="1386">
        <f>VLOOKUP(C63,'EmissRates MOVES2014'!$C$69:$M$84,4)</f>
        <v>7.7653345182478045E-3</v>
      </c>
    </row>
    <row r="64" spans="2:14" ht="15" x14ac:dyDescent="0.25">
      <c r="B64" s="1358">
        <v>2028</v>
      </c>
      <c r="C64" s="1384">
        <f>'TDM Summary'!L9</f>
        <v>29.400217448361982</v>
      </c>
      <c r="D64" s="1385">
        <f>VLOOKUP($C64,'EmissRates MOVES2014'!$C$5:$M$20,4)</f>
        <v>426.11695874356923</v>
      </c>
      <c r="E64" s="1385">
        <f>VLOOKUP(C64,'EmissRates MOVES2014'!$C$53:$M$68,4)</f>
        <v>0.35577960900557132</v>
      </c>
      <c r="F64" s="1385">
        <f>VLOOKUP(C64,'EmissRates MOVES2014'!$C$21:$M$36,4)</f>
        <v>0.61429482024184823</v>
      </c>
      <c r="G64" s="1385">
        <f>VLOOKUP(C64,'EmissRates MOVES2014'!$C$37:$M$52,4)</f>
        <v>1.6170808287985571E-2</v>
      </c>
      <c r="H64" s="1386">
        <f>VLOOKUP(C64,'EmissRates MOVES2014'!$C$69:$M$84,4)</f>
        <v>8.3243432475331395E-3</v>
      </c>
    </row>
    <row r="65" spans="2:8" ht="15" x14ac:dyDescent="0.25">
      <c r="B65" s="1358">
        <v>2029</v>
      </c>
      <c r="C65" s="1384">
        <f>'TDM Summary'!L10</f>
        <v>28.76481855831684</v>
      </c>
      <c r="D65" s="1385">
        <f>VLOOKUP($C65,'EmissRates MOVES2014'!$C$5:$M$20,4)</f>
        <v>426.11695874356923</v>
      </c>
      <c r="E65" s="1385">
        <f>VLOOKUP(C65,'EmissRates MOVES2014'!$C$53:$M$68,4)</f>
        <v>0.35577960900557132</v>
      </c>
      <c r="F65" s="1385">
        <f>VLOOKUP(C65,'EmissRates MOVES2014'!$C$21:$M$36,4)</f>
        <v>0.61429482024184823</v>
      </c>
      <c r="G65" s="1385">
        <f>VLOOKUP(C65,'EmissRates MOVES2014'!$C$37:$M$52,4)</f>
        <v>1.6170808287985571E-2</v>
      </c>
      <c r="H65" s="1386">
        <f>VLOOKUP(C65,'EmissRates MOVES2014'!$C$69:$M$84,4)</f>
        <v>8.3243432475331395E-3</v>
      </c>
    </row>
    <row r="66" spans="2:8" ht="15" x14ac:dyDescent="0.25">
      <c r="B66" s="1358">
        <v>2030</v>
      </c>
      <c r="C66" s="1384">
        <f>'TDM Summary'!L11</f>
        <v>28.129419668271698</v>
      </c>
      <c r="D66" s="1385">
        <f>VLOOKUP($C66,'EmissRates MOVES2014'!$C$5:$M$20,4)</f>
        <v>426.11695874356923</v>
      </c>
      <c r="E66" s="1385">
        <f>VLOOKUP(C66,'EmissRates MOVES2014'!$C$53:$M$68,4)</f>
        <v>0.35577960900557132</v>
      </c>
      <c r="F66" s="1385">
        <f>VLOOKUP(C66,'EmissRates MOVES2014'!$C$21:$M$36,4)</f>
        <v>0.61429482024184823</v>
      </c>
      <c r="G66" s="1385">
        <f>VLOOKUP(C66,'EmissRates MOVES2014'!$C$37:$M$52,4)</f>
        <v>1.6170808287985571E-2</v>
      </c>
      <c r="H66" s="1386">
        <f>VLOOKUP(C66,'EmissRates MOVES2014'!$C$69:$M$84,4)</f>
        <v>8.3243432475331395E-3</v>
      </c>
    </row>
    <row r="67" spans="2:8" ht="15" x14ac:dyDescent="0.25">
      <c r="B67" s="1358">
        <v>2031</v>
      </c>
      <c r="C67" s="1384">
        <f>'TDM Summary'!L12</f>
        <v>27.494020778226556</v>
      </c>
      <c r="D67" s="1385">
        <f>VLOOKUP($C67,'EmissRates MOVES2014'!$C$5:$M$20,4)</f>
        <v>426.11695874356923</v>
      </c>
      <c r="E67" s="1385">
        <f>VLOOKUP(C67,'EmissRates MOVES2014'!$C$53:$M$68,4)</f>
        <v>0.35577960900557132</v>
      </c>
      <c r="F67" s="1385">
        <f>VLOOKUP(C67,'EmissRates MOVES2014'!$C$21:$M$36,4)</f>
        <v>0.61429482024184823</v>
      </c>
      <c r="G67" s="1385">
        <f>VLOOKUP(C67,'EmissRates MOVES2014'!$C$37:$M$52,4)</f>
        <v>1.6170808287985571E-2</v>
      </c>
      <c r="H67" s="1386">
        <f>VLOOKUP(C67,'EmissRates MOVES2014'!$C$69:$M$84,4)</f>
        <v>8.3243432475331395E-3</v>
      </c>
    </row>
    <row r="68" spans="2:8" ht="15" x14ac:dyDescent="0.25">
      <c r="B68" s="1358">
        <v>2032</v>
      </c>
      <c r="C68" s="1384">
        <f>'TDM Summary'!L13</f>
        <v>26.858621888181414</v>
      </c>
      <c r="D68" s="1385">
        <f>VLOOKUP($C68,'EmissRates MOVES2014'!$C$5:$M$20,4)</f>
        <v>426.11695874356923</v>
      </c>
      <c r="E68" s="1385">
        <f>VLOOKUP(C68,'EmissRates MOVES2014'!$C$53:$M$68,4)</f>
        <v>0.35577960900557132</v>
      </c>
      <c r="F68" s="1385">
        <f>VLOOKUP(C68,'EmissRates MOVES2014'!$C$21:$M$36,4)</f>
        <v>0.61429482024184823</v>
      </c>
      <c r="G68" s="1385">
        <f>VLOOKUP(C68,'EmissRates MOVES2014'!$C$37:$M$52,4)</f>
        <v>1.6170808287985571E-2</v>
      </c>
      <c r="H68" s="1386">
        <f>VLOOKUP(C68,'EmissRates MOVES2014'!$C$69:$M$84,4)</f>
        <v>8.3243432475331395E-3</v>
      </c>
    </row>
    <row r="69" spans="2:8" ht="15" x14ac:dyDescent="0.25">
      <c r="B69" s="1358">
        <v>2033</v>
      </c>
      <c r="C69" s="1384">
        <f>'TDM Summary'!L14</f>
        <v>26.223222998136272</v>
      </c>
      <c r="D69" s="1385">
        <f>VLOOKUP($C69,'EmissRates MOVES2014'!$C$5:$M$20,4)</f>
        <v>426.11695874356923</v>
      </c>
      <c r="E69" s="1385">
        <f>VLOOKUP(C69,'EmissRates MOVES2014'!$C$53:$M$68,4)</f>
        <v>0.35577960900557132</v>
      </c>
      <c r="F69" s="1385">
        <f>VLOOKUP(C69,'EmissRates MOVES2014'!$C$21:$M$36,4)</f>
        <v>0.61429482024184823</v>
      </c>
      <c r="G69" s="1385">
        <f>VLOOKUP(C69,'EmissRates MOVES2014'!$C$37:$M$52,4)</f>
        <v>1.6170808287985571E-2</v>
      </c>
      <c r="H69" s="1386">
        <f>VLOOKUP(C69,'EmissRates MOVES2014'!$C$69:$M$84,4)</f>
        <v>8.3243432475331395E-3</v>
      </c>
    </row>
    <row r="70" spans="2:8" ht="15" x14ac:dyDescent="0.25">
      <c r="B70" s="1358">
        <v>2034</v>
      </c>
      <c r="C70" s="1384">
        <f>'TDM Summary'!L15</f>
        <v>25.58782410809113</v>
      </c>
      <c r="D70" s="1385">
        <f>VLOOKUP($C70,'EmissRates MOVES2014'!$C$5:$M$20,4)</f>
        <v>426.11695874356923</v>
      </c>
      <c r="E70" s="1385">
        <f>VLOOKUP(C70,'EmissRates MOVES2014'!$C$53:$M$68,4)</f>
        <v>0.35577960900557132</v>
      </c>
      <c r="F70" s="1385">
        <f>VLOOKUP(C70,'EmissRates MOVES2014'!$C$21:$M$36,4)</f>
        <v>0.61429482024184823</v>
      </c>
      <c r="G70" s="1385">
        <f>VLOOKUP(C70,'EmissRates MOVES2014'!$C$37:$M$52,4)</f>
        <v>1.6170808287985571E-2</v>
      </c>
      <c r="H70" s="1386">
        <f>VLOOKUP(C70,'EmissRates MOVES2014'!$C$69:$M$84,4)</f>
        <v>8.3243432475331395E-3</v>
      </c>
    </row>
    <row r="71" spans="2:8" ht="15" x14ac:dyDescent="0.25">
      <c r="B71" s="1358">
        <v>2035</v>
      </c>
      <c r="C71" s="1384">
        <f>'TDM Summary'!L16</f>
        <v>24.952425218045988</v>
      </c>
      <c r="D71" s="1385">
        <f>VLOOKUP($C71,'EmissRates MOVES2014'!$C$5:$M$20,4)</f>
        <v>476.06860592613856</v>
      </c>
      <c r="E71" s="1385">
        <f>VLOOKUP(C71,'EmissRates MOVES2014'!$C$53:$M$68,4)</f>
        <v>0.41555712462646105</v>
      </c>
      <c r="F71" s="1385">
        <f>VLOOKUP(C71,'EmissRates MOVES2014'!$C$21:$M$36,4)</f>
        <v>0.61456971847183439</v>
      </c>
      <c r="G71" s="1385">
        <f>VLOOKUP(C71,'EmissRates MOVES2014'!$C$37:$M$52,4)</f>
        <v>1.8697726572519738E-2</v>
      </c>
      <c r="H71" s="1386">
        <f>VLOOKUP(C71,'EmissRates MOVES2014'!$C$69:$M$84,4)</f>
        <v>9.2869572889815524E-3</v>
      </c>
    </row>
    <row r="72" spans="2:8" ht="15" x14ac:dyDescent="0.25">
      <c r="B72" s="1358">
        <v>2036</v>
      </c>
      <c r="C72" s="1384">
        <f>'TDM Summary'!L17</f>
        <v>24.317026328000846</v>
      </c>
      <c r="D72" s="1385">
        <f>VLOOKUP($C72,'EmissRates MOVES2014'!$C$5:$M$20,4)</f>
        <v>476.06860592613856</v>
      </c>
      <c r="E72" s="1385">
        <f>VLOOKUP(C72,'EmissRates MOVES2014'!$C$53:$M$68,4)</f>
        <v>0.41555712462646105</v>
      </c>
      <c r="F72" s="1385">
        <f>VLOOKUP(C72,'EmissRates MOVES2014'!$C$21:$M$36,4)</f>
        <v>0.61456971847183439</v>
      </c>
      <c r="G72" s="1385">
        <f>VLOOKUP(C72,'EmissRates MOVES2014'!$C$37:$M$52,4)</f>
        <v>1.8697726572519738E-2</v>
      </c>
      <c r="H72" s="1386">
        <f>VLOOKUP(C72,'EmissRates MOVES2014'!$C$69:$M$84,4)</f>
        <v>9.2869572889815524E-3</v>
      </c>
    </row>
    <row r="73" spans="2:8" ht="15" x14ac:dyDescent="0.25">
      <c r="B73" s="1358">
        <v>2037</v>
      </c>
      <c r="C73" s="1384">
        <f>'TDM Summary'!L18</f>
        <v>23.681627437955704</v>
      </c>
      <c r="D73" s="1385">
        <f>VLOOKUP($C73,'EmissRates MOVES2014'!$C$5:$M$20,4)</f>
        <v>476.06860592613856</v>
      </c>
      <c r="E73" s="1385">
        <f>VLOOKUP(C73,'EmissRates MOVES2014'!$C$53:$M$68,4)</f>
        <v>0.41555712462646105</v>
      </c>
      <c r="F73" s="1385">
        <f>VLOOKUP(C73,'EmissRates MOVES2014'!$C$21:$M$36,4)</f>
        <v>0.61456971847183439</v>
      </c>
      <c r="G73" s="1385">
        <f>VLOOKUP(C73,'EmissRates MOVES2014'!$C$37:$M$52,4)</f>
        <v>1.8697726572519738E-2</v>
      </c>
      <c r="H73" s="1386">
        <f>VLOOKUP(C73,'EmissRates MOVES2014'!$C$69:$M$84,4)</f>
        <v>9.2869572889815524E-3</v>
      </c>
    </row>
    <row r="74" spans="2:8" ht="15" x14ac:dyDescent="0.25">
      <c r="B74" s="1358">
        <v>2038</v>
      </c>
      <c r="C74" s="1384">
        <f>'TDM Summary'!L19</f>
        <v>23.046228547910562</v>
      </c>
      <c r="D74" s="1385">
        <f>VLOOKUP($C74,'EmissRates MOVES2014'!$C$5:$M$20,4)</f>
        <v>476.06860592613856</v>
      </c>
      <c r="E74" s="1385">
        <f>VLOOKUP(C74,'EmissRates MOVES2014'!$C$53:$M$68,4)</f>
        <v>0.41555712462646105</v>
      </c>
      <c r="F74" s="1385">
        <f>VLOOKUP(C74,'EmissRates MOVES2014'!$C$21:$M$36,4)</f>
        <v>0.61456971847183439</v>
      </c>
      <c r="G74" s="1385">
        <f>VLOOKUP(C74,'EmissRates MOVES2014'!$C$37:$M$52,4)</f>
        <v>1.8697726572519738E-2</v>
      </c>
      <c r="H74" s="1386">
        <f>VLOOKUP(C74,'EmissRates MOVES2014'!$C$69:$M$84,4)</f>
        <v>9.2869572889815524E-3</v>
      </c>
    </row>
    <row r="75" spans="2:8" ht="15" x14ac:dyDescent="0.25">
      <c r="B75" s="1358">
        <v>2039</v>
      </c>
      <c r="C75" s="1384">
        <f>'TDM Summary'!L20</f>
        <v>22.41082965786542</v>
      </c>
      <c r="D75" s="1385">
        <f>VLOOKUP($C75,'EmissRates MOVES2014'!$C$5:$M$20,4)</f>
        <v>476.06860592613856</v>
      </c>
      <c r="E75" s="1385">
        <f>VLOOKUP(C75,'EmissRates MOVES2014'!$C$53:$M$68,4)</f>
        <v>0.41555712462646105</v>
      </c>
      <c r="F75" s="1385">
        <f>VLOOKUP(C75,'EmissRates MOVES2014'!$C$21:$M$36,4)</f>
        <v>0.61456971847183439</v>
      </c>
      <c r="G75" s="1385">
        <f>VLOOKUP(C75,'EmissRates MOVES2014'!$C$37:$M$52,4)</f>
        <v>1.8697726572519738E-2</v>
      </c>
      <c r="H75" s="1386">
        <f>VLOOKUP(C75,'EmissRates MOVES2014'!$C$69:$M$84,4)</f>
        <v>9.2869572889815524E-3</v>
      </c>
    </row>
    <row r="76" spans="2:8" ht="15" x14ac:dyDescent="0.25">
      <c r="B76" s="1358">
        <v>2040</v>
      </c>
      <c r="C76" s="1384">
        <f>'TDM Summary'!L21</f>
        <v>21.775430767820279</v>
      </c>
      <c r="D76" s="1385">
        <f>VLOOKUP($C76,'EmissRates MOVES2014'!$C$5:$M$20,4)</f>
        <v>476.06860592613856</v>
      </c>
      <c r="E76" s="1385">
        <f>VLOOKUP(C76,'EmissRates MOVES2014'!$C$53:$M$68,4)</f>
        <v>0.41555712462646105</v>
      </c>
      <c r="F76" s="1385">
        <f>VLOOKUP(C76,'EmissRates MOVES2014'!$C$21:$M$36,4)</f>
        <v>0.61456971847183439</v>
      </c>
      <c r="G76" s="1385">
        <f>VLOOKUP(C76,'EmissRates MOVES2014'!$C$37:$M$52,4)</f>
        <v>1.8697726572519738E-2</v>
      </c>
      <c r="H76" s="1386">
        <f>VLOOKUP(C76,'EmissRates MOVES2014'!$C$69:$M$84,4)</f>
        <v>9.2869572889815524E-3</v>
      </c>
    </row>
    <row r="77" spans="2:8" ht="15" x14ac:dyDescent="0.25">
      <c r="B77" s="1358">
        <v>2041</v>
      </c>
      <c r="C77" s="1384">
        <f>'TDM Summary'!L22</f>
        <v>21.140031877775137</v>
      </c>
      <c r="D77" s="1385">
        <f>VLOOKUP($C77,'EmissRates MOVES2014'!$C$5:$M$20,4)</f>
        <v>476.06860592613856</v>
      </c>
      <c r="E77" s="1385">
        <f>VLOOKUP(C77,'EmissRates MOVES2014'!$C$53:$M$68,4)</f>
        <v>0.41555712462646105</v>
      </c>
      <c r="F77" s="1385">
        <f>VLOOKUP(C77,'EmissRates MOVES2014'!$C$21:$M$36,4)</f>
        <v>0.61456971847183439</v>
      </c>
      <c r="G77" s="1385">
        <f>VLOOKUP(C77,'EmissRates MOVES2014'!$C$37:$M$52,4)</f>
        <v>1.8697726572519738E-2</v>
      </c>
      <c r="H77" s="1386">
        <f>VLOOKUP(C77,'EmissRates MOVES2014'!$C$69:$M$84,4)</f>
        <v>9.2869572889815524E-3</v>
      </c>
    </row>
    <row r="78" spans="2:8" ht="15" x14ac:dyDescent="0.25">
      <c r="B78" s="1358">
        <v>2042</v>
      </c>
      <c r="C78" s="1384">
        <f>'TDM Summary'!L23</f>
        <v>20.504632987729995</v>
      </c>
      <c r="D78" s="1385">
        <f>VLOOKUP($C78,'EmissRates MOVES2014'!$C$5:$M$20,4)</f>
        <v>476.06860592613856</v>
      </c>
      <c r="E78" s="1385">
        <f>VLOOKUP(C78,'EmissRates MOVES2014'!$C$53:$M$68,4)</f>
        <v>0.41555712462646105</v>
      </c>
      <c r="F78" s="1385">
        <f>VLOOKUP(C78,'EmissRates MOVES2014'!$C$21:$M$36,4)</f>
        <v>0.61456971847183439</v>
      </c>
      <c r="G78" s="1385">
        <f>VLOOKUP(C78,'EmissRates MOVES2014'!$C$37:$M$52,4)</f>
        <v>1.8697726572519738E-2</v>
      </c>
      <c r="H78" s="1386">
        <f>VLOOKUP(C78,'EmissRates MOVES2014'!$C$69:$M$84,4)</f>
        <v>9.2869572889815524E-3</v>
      </c>
    </row>
    <row r="79" spans="2:8" ht="15" x14ac:dyDescent="0.25">
      <c r="B79" s="1358">
        <v>2043</v>
      </c>
      <c r="C79" s="1384">
        <f>'TDM Summary'!L24</f>
        <v>19.869234097684853</v>
      </c>
      <c r="D79" s="1385">
        <f>VLOOKUP($C79,'EmissRates MOVES2014'!$C$5:$M$20,4)</f>
        <v>570.83703432089112</v>
      </c>
      <c r="E79" s="1385">
        <f>VLOOKUP(C79,'EmissRates MOVES2014'!$C$53:$M$68,4)</f>
        <v>0.53107408292306468</v>
      </c>
      <c r="F79" s="1385">
        <f>VLOOKUP(C79,'EmissRates MOVES2014'!$C$21:$M$36,4)</f>
        <v>0.68994178176983434</v>
      </c>
      <c r="G79" s="1385">
        <f>VLOOKUP(C79,'EmissRates MOVES2014'!$C$37:$M$52,4)</f>
        <v>2.3392106234624507E-2</v>
      </c>
      <c r="H79" s="1386">
        <f>VLOOKUP(C79,'EmissRates MOVES2014'!$C$69:$M$84,4)</f>
        <v>1.1105662312348131E-2</v>
      </c>
    </row>
    <row r="80" spans="2:8" ht="15" x14ac:dyDescent="0.25">
      <c r="B80" s="1358">
        <v>2044</v>
      </c>
      <c r="C80" s="1384">
        <f>'TDM Summary'!L25</f>
        <v>19.233835207639711</v>
      </c>
      <c r="D80" s="1385">
        <f>VLOOKUP($C80,'EmissRates MOVES2014'!$C$5:$M$20,4)</f>
        <v>570.83703432089112</v>
      </c>
      <c r="E80" s="1385">
        <f>VLOOKUP(C80,'EmissRates MOVES2014'!$C$53:$M$68,4)</f>
        <v>0.53107408292306468</v>
      </c>
      <c r="F80" s="1385">
        <f>VLOOKUP(C80,'EmissRates MOVES2014'!$C$21:$M$36,4)</f>
        <v>0.68994178176983434</v>
      </c>
      <c r="G80" s="1385">
        <f>VLOOKUP(C80,'EmissRates MOVES2014'!$C$37:$M$52,4)</f>
        <v>2.3392106234624507E-2</v>
      </c>
      <c r="H80" s="1386">
        <f>VLOOKUP(C80,'EmissRates MOVES2014'!$C$69:$M$84,4)</f>
        <v>1.1105662312348131E-2</v>
      </c>
    </row>
    <row r="81" spans="2:8" ht="15" x14ac:dyDescent="0.25">
      <c r="B81" s="1358">
        <v>2045</v>
      </c>
      <c r="C81" s="1384">
        <f>'TDM Summary'!L26</f>
        <v>18.598436317594569</v>
      </c>
      <c r="D81" s="1385">
        <f>VLOOKUP($C81,'EmissRates MOVES2014'!$C$5:$M$20,4)</f>
        <v>570.83703432089112</v>
      </c>
      <c r="E81" s="1385">
        <f>VLOOKUP(C81,'EmissRates MOVES2014'!$C$53:$M$68,4)</f>
        <v>0.53107408292306468</v>
      </c>
      <c r="F81" s="1385">
        <f>VLOOKUP(C81,'EmissRates MOVES2014'!$C$21:$M$36,4)</f>
        <v>0.68994178176983434</v>
      </c>
      <c r="G81" s="1385">
        <f>VLOOKUP(C81,'EmissRates MOVES2014'!$C$37:$M$52,4)</f>
        <v>2.3392106234624507E-2</v>
      </c>
      <c r="H81" s="1386">
        <f>VLOOKUP(C81,'EmissRates MOVES2014'!$C$69:$M$84,4)</f>
        <v>1.1105662312348131E-2</v>
      </c>
    </row>
    <row r="82" spans="2:8" ht="15" x14ac:dyDescent="0.25">
      <c r="B82" s="1358">
        <v>2046</v>
      </c>
      <c r="C82" s="1384">
        <f>'TDM Summary'!L27</f>
        <v>17.963037427549427</v>
      </c>
      <c r="D82" s="1385">
        <f>VLOOKUP($C82,'EmissRates MOVES2014'!$C$5:$M$20,4)</f>
        <v>570.83703432089112</v>
      </c>
      <c r="E82" s="1385">
        <f>VLOOKUP(C82,'EmissRates MOVES2014'!$C$53:$M$68,4)</f>
        <v>0.53107408292306468</v>
      </c>
      <c r="F82" s="1385">
        <f>VLOOKUP(C82,'EmissRates MOVES2014'!$C$21:$M$36,4)</f>
        <v>0.68994178176983434</v>
      </c>
      <c r="G82" s="1385">
        <f>VLOOKUP(C82,'EmissRates MOVES2014'!$C$37:$M$52,4)</f>
        <v>2.3392106234624507E-2</v>
      </c>
      <c r="H82" s="1386">
        <f>VLOOKUP(C82,'EmissRates MOVES2014'!$C$69:$M$84,4)</f>
        <v>1.1105662312348131E-2</v>
      </c>
    </row>
    <row r="83" spans="2:8" ht="15" x14ac:dyDescent="0.25">
      <c r="B83" s="1358">
        <v>2047</v>
      </c>
      <c r="C83" s="1384">
        <f>'TDM Summary'!L28</f>
        <v>17.327638537504285</v>
      </c>
      <c r="D83" s="1385">
        <f>VLOOKUP($C83,'EmissRates MOVES2014'!$C$5:$M$20,4)</f>
        <v>570.83703432089112</v>
      </c>
      <c r="E83" s="1385">
        <f>VLOOKUP(C83,'EmissRates MOVES2014'!$C$53:$M$68,4)</f>
        <v>0.53107408292306468</v>
      </c>
      <c r="F83" s="1385">
        <f>VLOOKUP(C83,'EmissRates MOVES2014'!$C$21:$M$36,4)</f>
        <v>0.68994178176983434</v>
      </c>
      <c r="G83" s="1385">
        <f>VLOOKUP(C83,'EmissRates MOVES2014'!$C$37:$M$52,4)</f>
        <v>2.3392106234624507E-2</v>
      </c>
      <c r="H83" s="1386">
        <f>VLOOKUP(C83,'EmissRates MOVES2014'!$C$69:$M$84,4)</f>
        <v>1.1105662312348131E-2</v>
      </c>
    </row>
    <row r="84" spans="2:8" ht="15" x14ac:dyDescent="0.25">
      <c r="B84" s="1358">
        <v>2048</v>
      </c>
      <c r="C84" s="1384">
        <f>'TDM Summary'!L29</f>
        <v>16.692239647459143</v>
      </c>
      <c r="D84" s="1385">
        <f>VLOOKUP($C84,'EmissRates MOVES2014'!$C$5:$M$20,4)</f>
        <v>570.83703432089112</v>
      </c>
      <c r="E84" s="1385">
        <f>VLOOKUP(C84,'EmissRates MOVES2014'!$C$53:$M$68,4)</f>
        <v>0.53107408292306468</v>
      </c>
      <c r="F84" s="1385">
        <f>VLOOKUP(C84,'EmissRates MOVES2014'!$C$21:$M$36,4)</f>
        <v>0.68994178176983434</v>
      </c>
      <c r="G84" s="1385">
        <f>VLOOKUP(C84,'EmissRates MOVES2014'!$C$37:$M$52,4)</f>
        <v>2.3392106234624507E-2</v>
      </c>
      <c r="H84" s="1386">
        <f>VLOOKUP(C84,'EmissRates MOVES2014'!$C$69:$M$84,4)</f>
        <v>1.1105662312348131E-2</v>
      </c>
    </row>
    <row r="85" spans="2:8" ht="15" x14ac:dyDescent="0.25">
      <c r="B85" s="1358">
        <v>2049</v>
      </c>
      <c r="C85" s="1384">
        <f>'TDM Summary'!L30</f>
        <v>16.056840757414001</v>
      </c>
      <c r="D85" s="1385">
        <f>VLOOKUP($C85,'EmissRates MOVES2014'!$C$5:$M$20,4)</f>
        <v>570.83703432089112</v>
      </c>
      <c r="E85" s="1385">
        <f>VLOOKUP(C85,'EmissRates MOVES2014'!$C$53:$M$68,4)</f>
        <v>0.53107408292306468</v>
      </c>
      <c r="F85" s="1385">
        <f>VLOOKUP(C85,'EmissRates MOVES2014'!$C$21:$M$36,4)</f>
        <v>0.68994178176983434</v>
      </c>
      <c r="G85" s="1385">
        <f>VLOOKUP(C85,'EmissRates MOVES2014'!$C$37:$M$52,4)</f>
        <v>2.3392106234624507E-2</v>
      </c>
      <c r="H85" s="1386">
        <f>VLOOKUP(C85,'EmissRates MOVES2014'!$C$69:$M$84,4)</f>
        <v>1.1105662312348131E-2</v>
      </c>
    </row>
    <row r="86" spans="2:8" ht="15" x14ac:dyDescent="0.25">
      <c r="B86" s="1358">
        <v>2050</v>
      </c>
      <c r="C86" s="1384">
        <f>'TDM Summary'!L31</f>
        <v>15.42144186736885</v>
      </c>
      <c r="D86" s="1385">
        <f>VLOOKUP($C86,'EmissRates MOVES2014'!$C$5:$M$20,4)</f>
        <v>570.83703432089112</v>
      </c>
      <c r="E86" s="1385">
        <f>VLOOKUP(C86,'EmissRates MOVES2014'!$C$53:$M$68,4)</f>
        <v>0.53107408292306468</v>
      </c>
      <c r="F86" s="1385">
        <f>VLOOKUP(C86,'EmissRates MOVES2014'!$C$21:$M$36,4)</f>
        <v>0.68994178176983434</v>
      </c>
      <c r="G86" s="1385">
        <f>VLOOKUP(C86,'EmissRates MOVES2014'!$C$37:$M$52,4)</f>
        <v>2.3392106234624507E-2</v>
      </c>
      <c r="H86" s="1386">
        <f>VLOOKUP(C86,'EmissRates MOVES2014'!$C$69:$M$84,4)</f>
        <v>1.1105662312348131E-2</v>
      </c>
    </row>
    <row r="87" spans="2:8" ht="15" x14ac:dyDescent="0.25">
      <c r="B87" s="1358">
        <v>2051</v>
      </c>
      <c r="C87" s="1384">
        <f>'TDM Summary'!L32</f>
        <v>15.42144186736885</v>
      </c>
      <c r="D87" s="1385">
        <f>VLOOKUP($C87,'EmissRates MOVES2014'!$C$5:$M$20,4)</f>
        <v>570.83703432089112</v>
      </c>
      <c r="E87" s="1385">
        <f>VLOOKUP(C87,'EmissRates MOVES2014'!$C$53:$M$68,4)</f>
        <v>0.53107408292306468</v>
      </c>
      <c r="F87" s="1385">
        <f>VLOOKUP(C87,'EmissRates MOVES2014'!$C$21:$M$36,4)</f>
        <v>0.68994178176983434</v>
      </c>
      <c r="G87" s="1385">
        <f>VLOOKUP(C87,'EmissRates MOVES2014'!$C$37:$M$52,4)</f>
        <v>2.3392106234624507E-2</v>
      </c>
      <c r="H87" s="1386">
        <f>VLOOKUP(C87,'EmissRates MOVES2014'!$C$69:$M$84,4)</f>
        <v>1.1105662312348131E-2</v>
      </c>
    </row>
    <row r="88" spans="2:8" ht="15" x14ac:dyDescent="0.25">
      <c r="B88" s="1358">
        <v>2052</v>
      </c>
      <c r="C88" s="1384">
        <f>'TDM Summary'!L33</f>
        <v>15.42144186736885</v>
      </c>
      <c r="D88" s="1385">
        <f>VLOOKUP($C88,'EmissRates MOVES2014'!$C$5:$M$20,4)</f>
        <v>570.83703432089112</v>
      </c>
      <c r="E88" s="1385">
        <f>VLOOKUP(C88,'EmissRates MOVES2014'!$C$53:$M$68,4)</f>
        <v>0.53107408292306468</v>
      </c>
      <c r="F88" s="1385">
        <f>VLOOKUP(C88,'EmissRates MOVES2014'!$C$21:$M$36,4)</f>
        <v>0.68994178176983434</v>
      </c>
      <c r="G88" s="1385">
        <f>VLOOKUP(C88,'EmissRates MOVES2014'!$C$37:$M$52,4)</f>
        <v>2.3392106234624507E-2</v>
      </c>
      <c r="H88" s="1386">
        <f>VLOOKUP(C88,'EmissRates MOVES2014'!$C$69:$M$84,4)</f>
        <v>1.1105662312348131E-2</v>
      </c>
    </row>
    <row r="89" spans="2:8" ht="15" x14ac:dyDescent="0.25">
      <c r="B89" s="1358">
        <v>2053</v>
      </c>
      <c r="C89" s="1384">
        <f>'TDM Summary'!L34</f>
        <v>15.42144186736885</v>
      </c>
      <c r="D89" s="1385">
        <f>VLOOKUP($C89,'EmissRates MOVES2014'!$C$5:$M$20,4)</f>
        <v>570.83703432089112</v>
      </c>
      <c r="E89" s="1385">
        <f>VLOOKUP(C89,'EmissRates MOVES2014'!$C$53:$M$68,4)</f>
        <v>0.53107408292306468</v>
      </c>
      <c r="F89" s="1385">
        <f>VLOOKUP(C89,'EmissRates MOVES2014'!$C$21:$M$36,4)</f>
        <v>0.68994178176983434</v>
      </c>
      <c r="G89" s="1385">
        <f>VLOOKUP(C89,'EmissRates MOVES2014'!$C$37:$M$52,4)</f>
        <v>2.3392106234624507E-2</v>
      </c>
      <c r="H89" s="1386">
        <f>VLOOKUP(C89,'EmissRates MOVES2014'!$C$69:$M$84,4)</f>
        <v>1.1105662312348131E-2</v>
      </c>
    </row>
    <row r="90" spans="2:8" ht="15" x14ac:dyDescent="0.25">
      <c r="B90" s="1358">
        <v>2054</v>
      </c>
      <c r="C90" s="1384">
        <f>'TDM Summary'!L35</f>
        <v>15.42144186736885</v>
      </c>
      <c r="D90" s="1385">
        <f>VLOOKUP($C90,'EmissRates MOVES2014'!$C$5:$M$20,4)</f>
        <v>570.83703432089112</v>
      </c>
      <c r="E90" s="1385">
        <f>VLOOKUP(C90,'EmissRates MOVES2014'!$C$53:$M$68,4)</f>
        <v>0.53107408292306468</v>
      </c>
      <c r="F90" s="1385">
        <f>VLOOKUP(C90,'EmissRates MOVES2014'!$C$21:$M$36,4)</f>
        <v>0.68994178176983434</v>
      </c>
      <c r="G90" s="1385">
        <f>VLOOKUP(C90,'EmissRates MOVES2014'!$C$37:$M$52,4)</f>
        <v>2.3392106234624507E-2</v>
      </c>
      <c r="H90" s="1386">
        <f>VLOOKUP(C90,'EmissRates MOVES2014'!$C$69:$M$84,4)</f>
        <v>1.1105662312348131E-2</v>
      </c>
    </row>
    <row r="91" spans="2:8" ht="15" x14ac:dyDescent="0.25">
      <c r="B91" s="1358">
        <v>2055</v>
      </c>
      <c r="C91" s="1384">
        <f>'TDM Summary'!L36</f>
        <v>15.42144186736885</v>
      </c>
      <c r="D91" s="1385">
        <f>VLOOKUP($C91,'EmissRates MOVES2014'!$C$5:$M$20,4)</f>
        <v>570.83703432089112</v>
      </c>
      <c r="E91" s="1385">
        <f>VLOOKUP(C91,'EmissRates MOVES2014'!$C$53:$M$68,4)</f>
        <v>0.53107408292306468</v>
      </c>
      <c r="F91" s="1385">
        <f>VLOOKUP(C91,'EmissRates MOVES2014'!$C$21:$M$36,4)</f>
        <v>0.68994178176983434</v>
      </c>
      <c r="G91" s="1385">
        <f>VLOOKUP(C91,'EmissRates MOVES2014'!$C$37:$M$52,4)</f>
        <v>2.3392106234624507E-2</v>
      </c>
      <c r="H91" s="1386">
        <f>VLOOKUP(C91,'EmissRates MOVES2014'!$C$69:$M$84,4)</f>
        <v>1.1105662312348131E-2</v>
      </c>
    </row>
    <row r="92" spans="2:8" ht="15" x14ac:dyDescent="0.25">
      <c r="B92" s="1358">
        <v>2056</v>
      </c>
      <c r="C92" s="1384">
        <f>'TDM Summary'!L37</f>
        <v>15.42144186736885</v>
      </c>
      <c r="D92" s="1385">
        <f>VLOOKUP($C92,'EmissRates MOVES2014'!$C$5:$M$20,4)</f>
        <v>570.83703432089112</v>
      </c>
      <c r="E92" s="1385">
        <f>VLOOKUP(C92,'EmissRates MOVES2014'!$C$53:$M$68,4)</f>
        <v>0.53107408292306468</v>
      </c>
      <c r="F92" s="1385">
        <f>VLOOKUP(C92,'EmissRates MOVES2014'!$C$21:$M$36,4)</f>
        <v>0.68994178176983434</v>
      </c>
      <c r="G92" s="1385">
        <f>VLOOKUP(C92,'EmissRates MOVES2014'!$C$37:$M$52,4)</f>
        <v>2.3392106234624507E-2</v>
      </c>
      <c r="H92" s="1386">
        <f>VLOOKUP(C92,'EmissRates MOVES2014'!$C$69:$M$84,4)</f>
        <v>1.1105662312348131E-2</v>
      </c>
    </row>
    <row r="93" spans="2:8" ht="15" x14ac:dyDescent="0.25">
      <c r="B93" s="1358">
        <v>2057</v>
      </c>
      <c r="C93" s="1384">
        <f>'TDM Summary'!L38</f>
        <v>15.42144186736885</v>
      </c>
      <c r="D93" s="1385">
        <f>VLOOKUP($C93,'EmissRates MOVES2014'!$C$5:$M$20,4)</f>
        <v>570.83703432089112</v>
      </c>
      <c r="E93" s="1385">
        <f>VLOOKUP(C93,'EmissRates MOVES2014'!$C$53:$M$68,4)</f>
        <v>0.53107408292306468</v>
      </c>
      <c r="F93" s="1385">
        <f>VLOOKUP(C93,'EmissRates MOVES2014'!$C$21:$M$36,4)</f>
        <v>0.68994178176983434</v>
      </c>
      <c r="G93" s="1385">
        <f>VLOOKUP(C93,'EmissRates MOVES2014'!$C$37:$M$52,4)</f>
        <v>2.3392106234624507E-2</v>
      </c>
      <c r="H93" s="1386">
        <f>VLOOKUP(C93,'EmissRates MOVES2014'!$C$69:$M$84,4)</f>
        <v>1.1105662312348131E-2</v>
      </c>
    </row>
    <row r="94" spans="2:8" ht="15" x14ac:dyDescent="0.25">
      <c r="B94" s="1358">
        <v>2058</v>
      </c>
      <c r="C94" s="1384">
        <f>'TDM Summary'!L39</f>
        <v>15.42144186736885</v>
      </c>
      <c r="D94" s="1385">
        <f>VLOOKUP($C94,'EmissRates MOVES2014'!$C$5:$M$20,4)</f>
        <v>570.83703432089112</v>
      </c>
      <c r="E94" s="1385">
        <f>VLOOKUP(C94,'EmissRates MOVES2014'!$C$53:$M$68,4)</f>
        <v>0.53107408292306468</v>
      </c>
      <c r="F94" s="1385">
        <f>VLOOKUP(C94,'EmissRates MOVES2014'!$C$21:$M$36,4)</f>
        <v>0.68994178176983434</v>
      </c>
      <c r="G94" s="1385">
        <f>VLOOKUP(C94,'EmissRates MOVES2014'!$C$37:$M$52,4)</f>
        <v>2.3392106234624507E-2</v>
      </c>
      <c r="H94" s="1386">
        <f>VLOOKUP(C94,'EmissRates MOVES2014'!$C$69:$M$84,4)</f>
        <v>1.1105662312348131E-2</v>
      </c>
    </row>
    <row r="95" spans="2:8" ht="15" x14ac:dyDescent="0.25">
      <c r="B95" s="1358">
        <v>2059</v>
      </c>
      <c r="C95" s="1384">
        <f>'TDM Summary'!L40</f>
        <v>15.42144186736885</v>
      </c>
      <c r="D95" s="1385">
        <f>VLOOKUP($C95,'EmissRates MOVES2014'!$C$5:$M$20,4)</f>
        <v>570.83703432089112</v>
      </c>
      <c r="E95" s="1385">
        <f>VLOOKUP(C95,'EmissRates MOVES2014'!$C$53:$M$68,4)</f>
        <v>0.53107408292306468</v>
      </c>
      <c r="F95" s="1385">
        <f>VLOOKUP(C95,'EmissRates MOVES2014'!$C$21:$M$36,4)</f>
        <v>0.68994178176983434</v>
      </c>
      <c r="G95" s="1385">
        <f>VLOOKUP(C95,'EmissRates MOVES2014'!$C$37:$M$52,4)</f>
        <v>2.3392106234624507E-2</v>
      </c>
      <c r="H95" s="1386">
        <f>VLOOKUP(C95,'EmissRates MOVES2014'!$C$69:$M$84,4)</f>
        <v>1.1105662312348131E-2</v>
      </c>
    </row>
    <row r="96" spans="2:8" ht="15" x14ac:dyDescent="0.25">
      <c r="B96" s="1358">
        <v>2060</v>
      </c>
      <c r="C96" s="1384">
        <f>'TDM Summary'!L41</f>
        <v>15.42144186736885</v>
      </c>
      <c r="D96" s="1385">
        <f>VLOOKUP($C96,'EmissRates MOVES2014'!$C$5:$M$20,4)</f>
        <v>570.83703432089112</v>
      </c>
      <c r="E96" s="1385">
        <f>VLOOKUP(C96,'EmissRates MOVES2014'!$C$53:$M$68,4)</f>
        <v>0.53107408292306468</v>
      </c>
      <c r="F96" s="1385">
        <f>VLOOKUP(C96,'EmissRates MOVES2014'!$C$21:$M$36,4)</f>
        <v>0.68994178176983434</v>
      </c>
      <c r="G96" s="1385">
        <f>VLOOKUP(C96,'EmissRates MOVES2014'!$C$37:$M$52,4)</f>
        <v>2.3392106234624507E-2</v>
      </c>
      <c r="H96" s="1386">
        <f>VLOOKUP(C96,'EmissRates MOVES2014'!$C$69:$M$84,4)</f>
        <v>1.1105662312348131E-2</v>
      </c>
    </row>
    <row r="97" spans="2:8" ht="15.75" thickBot="1" x14ac:dyDescent="0.3">
      <c r="B97" s="1363">
        <v>2061</v>
      </c>
      <c r="C97" s="1387">
        <f>'TDM Summary'!L42</f>
        <v>15.42144186736885</v>
      </c>
      <c r="D97" s="1388">
        <f>VLOOKUP($C97,'EmissRates MOVES2014'!$C$5:$M$20,4)</f>
        <v>570.83703432089112</v>
      </c>
      <c r="E97" s="1388">
        <f>VLOOKUP(C97,'EmissRates MOVES2014'!$C$53:$M$68,4)</f>
        <v>0.53107408292306468</v>
      </c>
      <c r="F97" s="1388">
        <f>VLOOKUP(C97,'EmissRates MOVES2014'!$C$21:$M$36,4)</f>
        <v>0.68994178176983434</v>
      </c>
      <c r="G97" s="1388">
        <f>VLOOKUP(C97,'EmissRates MOVES2014'!$C$37:$M$52,4)</f>
        <v>2.3392106234624507E-2</v>
      </c>
      <c r="H97" s="1389">
        <f>VLOOKUP(C97,'EmissRates MOVES2014'!$C$69:$M$84,4)</f>
        <v>1.1105662312348131E-2</v>
      </c>
    </row>
    <row r="98" spans="2:8" ht="13.5" thickTop="1" x14ac:dyDescent="0.25"/>
  </sheetData>
  <mergeCells count="3">
    <mergeCell ref="D56:H56"/>
    <mergeCell ref="B54:G54"/>
    <mergeCell ref="B4:F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AO64"/>
  <sheetViews>
    <sheetView showGridLines="0" zoomScale="80" zoomScaleNormal="80" workbookViewId="0">
      <selection activeCell="D17" sqref="D17"/>
    </sheetView>
  </sheetViews>
  <sheetFormatPr defaultRowHeight="12.75" x14ac:dyDescent="0.25"/>
  <cols>
    <col min="1" max="1" width="3.5703125" style="391" customWidth="1"/>
    <col min="2" max="2" width="28.5703125" style="391" customWidth="1"/>
    <col min="3" max="3" width="24.85546875" style="391" bestFit="1" customWidth="1"/>
    <col min="4" max="9" width="10.85546875" style="391" customWidth="1"/>
    <col min="10" max="10" width="12.7109375" style="391" customWidth="1"/>
    <col min="11" max="11" width="14.5703125" style="391" customWidth="1"/>
    <col min="12" max="14" width="10.85546875" style="391" customWidth="1"/>
    <col min="15" max="25" width="9.5703125" style="391" customWidth="1"/>
    <col min="26" max="27" width="9.140625" style="440"/>
    <col min="28" max="28" width="10.5703125" style="440" bestFit="1" customWidth="1"/>
    <col min="29" max="39" width="8" style="391" customWidth="1"/>
    <col min="40" max="16384" width="9.140625" style="391"/>
  </cols>
  <sheetData>
    <row r="2" spans="2:41" ht="18.75" x14ac:dyDescent="0.25">
      <c r="B2" s="1011" t="str">
        <f>'About the Spreadsheet Tabs'!$B$3</f>
        <v>Benefit-Cost Assessment Spreadsheet for Access I-95: Driving Baltimore's City Development</v>
      </c>
    </row>
    <row r="3" spans="2:41" ht="18.75" x14ac:dyDescent="0.25">
      <c r="B3" s="1011" t="s">
        <v>511</v>
      </c>
    </row>
    <row r="4" spans="2:41" ht="15.75" x14ac:dyDescent="0.25">
      <c r="B4" s="1027" t="s">
        <v>718</v>
      </c>
    </row>
    <row r="5" spans="2:41" ht="18.75" x14ac:dyDescent="0.25">
      <c r="B5" s="366"/>
    </row>
    <row r="6" spans="2:41" ht="57.75" customHeight="1" x14ac:dyDescent="0.25">
      <c r="B6" s="1224" t="str">
        <f>'Rates - Single'!B181</f>
        <v>Average Monetized Value of Accident (for KABCO-reported and generic accident data)</v>
      </c>
      <c r="C6" s="1224"/>
      <c r="D6" s="1012" t="s">
        <v>393</v>
      </c>
      <c r="E6" s="1012" t="s">
        <v>1</v>
      </c>
      <c r="F6" s="1223"/>
      <c r="G6" s="1217"/>
      <c r="H6" s="1217"/>
      <c r="I6" s="1217"/>
      <c r="J6" s="1217"/>
      <c r="K6" s="542"/>
      <c r="L6" s="542"/>
      <c r="M6" s="542"/>
      <c r="N6" s="542"/>
    </row>
    <row r="7" spans="2:41" s="398" customFormat="1" ht="37.5" customHeight="1" x14ac:dyDescent="0.25">
      <c r="B7" s="725" t="str">
        <f>'Rates - Single'!B182</f>
        <v xml:space="preserve"> - Fatal Accident Cost</v>
      </c>
      <c r="C7" s="441" t="s">
        <v>210</v>
      </c>
      <c r="D7" s="726">
        <f>'Rates - Single'!E182</f>
        <v>9600000</v>
      </c>
      <c r="E7" s="397" t="str">
        <f>'Rates - Single'!F182</f>
        <v>$/person</v>
      </c>
      <c r="F7" s="927"/>
      <c r="G7" s="927"/>
      <c r="H7" s="927"/>
      <c r="I7" s="927"/>
      <c r="J7" s="927"/>
      <c r="K7" s="542"/>
      <c r="L7" s="542"/>
      <c r="M7" s="542"/>
      <c r="N7" s="542"/>
      <c r="Z7" s="959"/>
      <c r="AA7" s="959"/>
      <c r="AB7" s="959"/>
    </row>
    <row r="8" spans="2:41" s="398" customFormat="1" ht="37.5" customHeight="1" x14ac:dyDescent="0.25">
      <c r="B8" s="725" t="str">
        <f>'Rates - Single'!B183</f>
        <v>-  Accident Cost (Incapaciting Injury)</v>
      </c>
      <c r="C8" s="441" t="s">
        <v>208</v>
      </c>
      <c r="D8" s="726">
        <f>'Rates - Single'!E183</f>
        <v>459120.288</v>
      </c>
      <c r="E8" s="397" t="str">
        <f>'Rates - Single'!F183</f>
        <v>$/person</v>
      </c>
      <c r="F8" s="927"/>
      <c r="G8" s="927"/>
      <c r="H8" s="927"/>
      <c r="I8" s="927"/>
      <c r="J8" s="927"/>
      <c r="K8" s="542"/>
      <c r="L8" s="542"/>
      <c r="M8" s="542"/>
      <c r="N8" s="542"/>
      <c r="Z8" s="959"/>
      <c r="AA8" s="959"/>
      <c r="AB8" s="959"/>
    </row>
    <row r="9" spans="2:41" s="398" customFormat="1" ht="37.5" customHeight="1" x14ac:dyDescent="0.25">
      <c r="B9" s="725" t="str">
        <f>'Rates - Single'!B184</f>
        <v>-  Accident Cost (Non-Incapaciting Injury)</v>
      </c>
      <c r="C9" s="441" t="s">
        <v>206</v>
      </c>
      <c r="D9" s="726">
        <f>'Rates - Single'!E184</f>
        <v>125049.88800000001</v>
      </c>
      <c r="E9" s="397" t="str">
        <f>'Rates - Single'!F184</f>
        <v>$/person</v>
      </c>
      <c r="F9" s="927"/>
      <c r="G9" s="927"/>
      <c r="H9" s="927"/>
      <c r="I9" s="927"/>
      <c r="J9" s="927"/>
      <c r="K9" s="542"/>
      <c r="L9" s="542"/>
      <c r="M9" s="542"/>
      <c r="N9" s="542"/>
      <c r="Z9" s="959"/>
      <c r="AA9" s="959"/>
      <c r="AB9" s="959"/>
    </row>
    <row r="10" spans="2:41" s="398" customFormat="1" ht="37.5" customHeight="1" x14ac:dyDescent="0.25">
      <c r="B10" s="725" t="str">
        <f>'Rates - Single'!B185</f>
        <v>-  Accident Cost (Possible Injury)</v>
      </c>
      <c r="C10" s="441" t="s">
        <v>204</v>
      </c>
      <c r="D10" s="726">
        <f>'Rates - Single'!E185</f>
        <v>63854.495999999999</v>
      </c>
      <c r="E10" s="397" t="str">
        <f>'Rates - Single'!F185</f>
        <v>$/person</v>
      </c>
      <c r="F10" s="927"/>
      <c r="G10" s="927"/>
      <c r="H10" s="927"/>
      <c r="I10" s="927"/>
      <c r="J10" s="927"/>
      <c r="K10" s="542"/>
      <c r="L10" s="542"/>
      <c r="M10" s="542"/>
      <c r="N10" s="542"/>
      <c r="Z10" s="959"/>
      <c r="AA10" s="959"/>
      <c r="AB10" s="959"/>
    </row>
    <row r="11" spans="2:41" s="398" customFormat="1" ht="37.5" customHeight="1" x14ac:dyDescent="0.25">
      <c r="B11" s="725" t="str">
        <f>'Rates - Single'!B186</f>
        <v xml:space="preserve"> - Accident Cost (Injured Severity Unknown)</v>
      </c>
      <c r="C11" s="441" t="s">
        <v>212</v>
      </c>
      <c r="D11" s="726">
        <f>'Rates - Single'!E186</f>
        <v>174029.568</v>
      </c>
      <c r="E11" s="397" t="str">
        <f>'Rates - Single'!F186</f>
        <v>$/person</v>
      </c>
      <c r="F11" s="927"/>
      <c r="G11" s="927"/>
      <c r="H11" s="927"/>
      <c r="I11" s="927"/>
      <c r="J11" s="927"/>
      <c r="K11" s="542"/>
      <c r="L11" s="542"/>
      <c r="M11" s="542"/>
      <c r="N11" s="542"/>
      <c r="Z11" s="959"/>
      <c r="AA11" s="959"/>
      <c r="AB11" s="959"/>
    </row>
    <row r="12" spans="2:41" s="398" customFormat="1" ht="37.5" customHeight="1" x14ac:dyDescent="0.25">
      <c r="B12" s="725" t="str">
        <f>'Rates - Single'!B188</f>
        <v xml:space="preserve"> - Property Damage Only (PDO) Crashes</v>
      </c>
      <c r="C12" s="441" t="s">
        <v>202</v>
      </c>
      <c r="D12" s="726">
        <f>'Rates - Single'!E188</f>
        <v>4198</v>
      </c>
      <c r="E12" s="397" t="str">
        <f>'Rates - Single'!F188</f>
        <v>$/veh</v>
      </c>
      <c r="F12" s="927"/>
      <c r="G12" s="927"/>
      <c r="H12" s="927"/>
      <c r="I12" s="927"/>
      <c r="J12" s="927"/>
      <c r="K12" s="542"/>
      <c r="L12" s="542"/>
      <c r="M12" s="542"/>
      <c r="N12" s="542"/>
      <c r="Z12" s="959"/>
      <c r="AA12" s="959"/>
      <c r="AB12" s="959"/>
    </row>
    <row r="13" spans="2:41" s="398" customFormat="1" ht="21.75" customHeight="1" x14ac:dyDescent="0.25">
      <c r="B13" s="1225" t="s">
        <v>394</v>
      </c>
      <c r="C13" s="1225"/>
      <c r="D13" s="393"/>
      <c r="E13" s="397"/>
      <c r="F13" s="927"/>
      <c r="G13" s="927"/>
      <c r="H13" s="927"/>
      <c r="I13" s="927"/>
      <c r="J13" s="927"/>
      <c r="K13" s="542"/>
      <c r="L13" s="542"/>
      <c r="M13" s="542"/>
      <c r="N13" s="542"/>
      <c r="Z13" s="959"/>
      <c r="AA13" s="959"/>
      <c r="AB13" s="959"/>
      <c r="AC13" s="398" t="s">
        <v>475</v>
      </c>
    </row>
    <row r="14" spans="2:41" x14ac:dyDescent="0.25">
      <c r="B14" s="392"/>
      <c r="C14" s="392"/>
      <c r="D14" s="392"/>
      <c r="E14" s="548"/>
      <c r="F14" s="392"/>
      <c r="G14" s="392"/>
      <c r="H14" s="392"/>
      <c r="I14" s="392"/>
      <c r="J14" s="392"/>
      <c r="K14" s="392"/>
      <c r="L14" s="392"/>
      <c r="M14" s="392"/>
      <c r="N14" s="392"/>
      <c r="AA14" s="440" t="s">
        <v>475</v>
      </c>
    </row>
    <row r="15" spans="2:41" ht="15.75" x14ac:dyDescent="0.25">
      <c r="E15" s="750"/>
      <c r="F15" s="750"/>
      <c r="G15" s="750"/>
      <c r="H15" s="750"/>
      <c r="I15" s="750"/>
      <c r="J15" s="750"/>
      <c r="K15" s="750"/>
      <c r="L15" s="750"/>
      <c r="M15" s="750"/>
      <c r="N15" s="750"/>
      <c r="AL15" s="391" t="s">
        <v>475</v>
      </c>
    </row>
    <row r="16" spans="2:41" ht="12.75" customHeight="1" x14ac:dyDescent="0.25">
      <c r="B16" s="1220" t="s">
        <v>7</v>
      </c>
      <c r="C16" s="1220" t="s">
        <v>316</v>
      </c>
      <c r="D16" s="1228" t="s">
        <v>677</v>
      </c>
      <c r="E16" s="1228"/>
      <c r="F16" s="1228"/>
      <c r="G16" s="1228"/>
      <c r="H16" s="1228"/>
      <c r="I16" s="1228"/>
      <c r="J16" s="1228"/>
      <c r="K16" s="1228"/>
      <c r="L16" s="1228"/>
      <c r="M16" s="1228"/>
      <c r="N16" s="1228"/>
      <c r="O16" s="1229" t="s">
        <v>613</v>
      </c>
      <c r="P16" s="1229"/>
      <c r="Q16" s="1229"/>
      <c r="R16" s="1229"/>
      <c r="S16" s="1229"/>
      <c r="T16" s="1229"/>
      <c r="U16" s="1229"/>
      <c r="V16" s="1229"/>
      <c r="W16" s="1229"/>
      <c r="X16" s="1229"/>
      <c r="Y16" s="1229"/>
      <c r="Z16" s="1226" t="s">
        <v>610</v>
      </c>
      <c r="AA16" s="1226" t="s">
        <v>611</v>
      </c>
      <c r="AB16" s="1226" t="s">
        <v>612</v>
      </c>
      <c r="AC16" s="1228" t="s">
        <v>614</v>
      </c>
      <c r="AD16" s="1228"/>
      <c r="AE16" s="1228"/>
      <c r="AF16" s="1228"/>
      <c r="AG16" s="1228"/>
      <c r="AH16" s="1228"/>
      <c r="AI16" s="1228"/>
      <c r="AJ16" s="1228"/>
      <c r="AK16" s="1228"/>
      <c r="AL16" s="1228"/>
      <c r="AM16" s="1228"/>
      <c r="AN16" s="1226" t="s">
        <v>5</v>
      </c>
      <c r="AO16" s="391" t="s">
        <v>475</v>
      </c>
    </row>
    <row r="17" spans="2:41" ht="30" customHeight="1" x14ac:dyDescent="0.25">
      <c r="B17" s="1221"/>
      <c r="C17" s="1221"/>
      <c r="D17" s="1042" t="s">
        <v>558</v>
      </c>
      <c r="E17" s="1042" t="s">
        <v>559</v>
      </c>
      <c r="F17" s="1042" t="s">
        <v>560</v>
      </c>
      <c r="G17" s="1042" t="s">
        <v>561</v>
      </c>
      <c r="H17" s="1042" t="s">
        <v>562</v>
      </c>
      <c r="I17" s="1042" t="s">
        <v>563</v>
      </c>
      <c r="J17" s="1042" t="s">
        <v>564</v>
      </c>
      <c r="K17" s="1042" t="s">
        <v>565</v>
      </c>
      <c r="L17" s="1042" t="s">
        <v>566</v>
      </c>
      <c r="M17" s="1042" t="s">
        <v>567</v>
      </c>
      <c r="N17" s="1042" t="s">
        <v>568</v>
      </c>
      <c r="O17" s="1043" t="s">
        <v>558</v>
      </c>
      <c r="P17" s="1043" t="s">
        <v>559</v>
      </c>
      <c r="Q17" s="1043" t="s">
        <v>560</v>
      </c>
      <c r="R17" s="1043" t="s">
        <v>561</v>
      </c>
      <c r="S17" s="1043" t="s">
        <v>562</v>
      </c>
      <c r="T17" s="1043" t="s">
        <v>563</v>
      </c>
      <c r="U17" s="1043" t="s">
        <v>564</v>
      </c>
      <c r="V17" s="1043" t="s">
        <v>565</v>
      </c>
      <c r="W17" s="1043" t="s">
        <v>566</v>
      </c>
      <c r="X17" s="1043" t="s">
        <v>567</v>
      </c>
      <c r="Y17" s="1043" t="s">
        <v>568</v>
      </c>
      <c r="Z17" s="1227"/>
      <c r="AA17" s="1227"/>
      <c r="AB17" s="1227"/>
      <c r="AC17" s="1042" t="s">
        <v>558</v>
      </c>
      <c r="AD17" s="1042" t="s">
        <v>559</v>
      </c>
      <c r="AE17" s="1042" t="s">
        <v>560</v>
      </c>
      <c r="AF17" s="1042" t="s">
        <v>561</v>
      </c>
      <c r="AG17" s="1042" t="s">
        <v>562</v>
      </c>
      <c r="AH17" s="1042" t="s">
        <v>563</v>
      </c>
      <c r="AI17" s="1042" t="s">
        <v>564</v>
      </c>
      <c r="AJ17" s="1042" t="s">
        <v>565</v>
      </c>
      <c r="AK17" s="1042" t="s">
        <v>566</v>
      </c>
      <c r="AL17" s="1042" t="s">
        <v>567</v>
      </c>
      <c r="AM17" s="1042" t="s">
        <v>568</v>
      </c>
      <c r="AN17" s="1227"/>
    </row>
    <row r="18" spans="2:41" ht="14.25" customHeight="1" x14ac:dyDescent="0.25">
      <c r="B18" s="1016">
        <v>0</v>
      </c>
      <c r="C18" s="1017">
        <v>2019</v>
      </c>
      <c r="D18" s="1017" t="s">
        <v>643</v>
      </c>
      <c r="E18" s="1017" t="s">
        <v>643</v>
      </c>
      <c r="F18" s="1017" t="s">
        <v>643</v>
      </c>
      <c r="G18" s="1017" t="s">
        <v>643</v>
      </c>
      <c r="H18" s="1017" t="s">
        <v>643</v>
      </c>
      <c r="I18" s="1017" t="s">
        <v>643</v>
      </c>
      <c r="J18" s="1017" t="s">
        <v>643</v>
      </c>
      <c r="K18" s="1017" t="s">
        <v>643</v>
      </c>
      <c r="L18" s="1017" t="s">
        <v>643</v>
      </c>
      <c r="M18" s="1017" t="s">
        <v>643</v>
      </c>
      <c r="N18" s="1017" t="s">
        <v>643</v>
      </c>
      <c r="O18" s="1017" t="s">
        <v>643</v>
      </c>
      <c r="P18" s="1017" t="s">
        <v>643</v>
      </c>
      <c r="Q18" s="1017" t="s">
        <v>643</v>
      </c>
      <c r="R18" s="1017" t="s">
        <v>643</v>
      </c>
      <c r="S18" s="1017" t="s">
        <v>643</v>
      </c>
      <c r="T18" s="1017" t="s">
        <v>643</v>
      </c>
      <c r="U18" s="1017" t="s">
        <v>643</v>
      </c>
      <c r="V18" s="1017" t="s">
        <v>643</v>
      </c>
      <c r="W18" s="1017" t="s">
        <v>643</v>
      </c>
      <c r="X18" s="1017" t="s">
        <v>643</v>
      </c>
      <c r="Y18" s="1017" t="s">
        <v>643</v>
      </c>
      <c r="Z18" s="1017" t="s">
        <v>643</v>
      </c>
      <c r="AA18" s="1017" t="s">
        <v>643</v>
      </c>
      <c r="AB18" s="1017" t="s">
        <v>643</v>
      </c>
      <c r="AC18" s="1017" t="s">
        <v>643</v>
      </c>
      <c r="AD18" s="1017" t="s">
        <v>643</v>
      </c>
      <c r="AE18" s="1017" t="s">
        <v>643</v>
      </c>
      <c r="AF18" s="1017" t="s">
        <v>643</v>
      </c>
      <c r="AG18" s="1017" t="s">
        <v>643</v>
      </c>
      <c r="AH18" s="1017" t="s">
        <v>643</v>
      </c>
      <c r="AI18" s="1017" t="s">
        <v>643</v>
      </c>
      <c r="AJ18" s="1017" t="s">
        <v>643</v>
      </c>
      <c r="AK18" s="1017" t="s">
        <v>643</v>
      </c>
      <c r="AL18" s="1017" t="s">
        <v>643</v>
      </c>
      <c r="AM18" s="1017" t="s">
        <v>643</v>
      </c>
      <c r="AN18" s="1017" t="s">
        <v>643</v>
      </c>
      <c r="AO18" s="391" t="s">
        <v>475</v>
      </c>
    </row>
    <row r="19" spans="2:41" ht="15" x14ac:dyDescent="0.25">
      <c r="B19" s="1016">
        <v>1</v>
      </c>
      <c r="C19" s="1017">
        <v>2020</v>
      </c>
      <c r="D19" s="1017" t="s">
        <v>643</v>
      </c>
      <c r="E19" s="1017" t="s">
        <v>643</v>
      </c>
      <c r="F19" s="1017" t="s">
        <v>643</v>
      </c>
      <c r="G19" s="1017" t="s">
        <v>643</v>
      </c>
      <c r="H19" s="1017" t="s">
        <v>643</v>
      </c>
      <c r="I19" s="1017" t="s">
        <v>643</v>
      </c>
      <c r="J19" s="1017" t="s">
        <v>643</v>
      </c>
      <c r="K19" s="1017" t="s">
        <v>643</v>
      </c>
      <c r="L19" s="1017" t="s">
        <v>643</v>
      </c>
      <c r="M19" s="1017" t="s">
        <v>643</v>
      </c>
      <c r="N19" s="1017" t="s">
        <v>643</v>
      </c>
      <c r="O19" s="1017" t="s">
        <v>643</v>
      </c>
      <c r="P19" s="1017" t="s">
        <v>643</v>
      </c>
      <c r="Q19" s="1017" t="s">
        <v>643</v>
      </c>
      <c r="R19" s="1017" t="s">
        <v>643</v>
      </c>
      <c r="S19" s="1017" t="s">
        <v>643</v>
      </c>
      <c r="T19" s="1017" t="s">
        <v>643</v>
      </c>
      <c r="U19" s="1017" t="s">
        <v>643</v>
      </c>
      <c r="V19" s="1017" t="s">
        <v>643</v>
      </c>
      <c r="W19" s="1017" t="s">
        <v>643</v>
      </c>
      <c r="X19" s="1017" t="s">
        <v>643</v>
      </c>
      <c r="Y19" s="1017" t="s">
        <v>643</v>
      </c>
      <c r="Z19" s="1017" t="s">
        <v>643</v>
      </c>
      <c r="AA19" s="1017" t="s">
        <v>643</v>
      </c>
      <c r="AB19" s="1017" t="s">
        <v>643</v>
      </c>
      <c r="AC19" s="1017" t="s">
        <v>643</v>
      </c>
      <c r="AD19" s="1017" t="s">
        <v>643</v>
      </c>
      <c r="AE19" s="1017" t="s">
        <v>643</v>
      </c>
      <c r="AF19" s="1017" t="s">
        <v>643</v>
      </c>
      <c r="AG19" s="1017" t="s">
        <v>643</v>
      </c>
      <c r="AH19" s="1017" t="s">
        <v>643</v>
      </c>
      <c r="AI19" s="1017" t="s">
        <v>643</v>
      </c>
      <c r="AJ19" s="1017" t="s">
        <v>643</v>
      </c>
      <c r="AK19" s="1017" t="s">
        <v>643</v>
      </c>
      <c r="AL19" s="1017" t="s">
        <v>643</v>
      </c>
      <c r="AM19" s="1017" t="s">
        <v>643</v>
      </c>
      <c r="AN19" s="1017" t="s">
        <v>643</v>
      </c>
    </row>
    <row r="20" spans="2:41" ht="15" x14ac:dyDescent="0.25">
      <c r="B20" s="1016">
        <v>2</v>
      </c>
      <c r="C20" s="1017">
        <v>2021</v>
      </c>
      <c r="D20" s="1017" t="s">
        <v>643</v>
      </c>
      <c r="E20" s="1017" t="s">
        <v>643</v>
      </c>
      <c r="F20" s="1017" t="s">
        <v>643</v>
      </c>
      <c r="G20" s="1017" t="s">
        <v>643</v>
      </c>
      <c r="H20" s="1017" t="s">
        <v>643</v>
      </c>
      <c r="I20" s="1017" t="s">
        <v>643</v>
      </c>
      <c r="J20" s="1017" t="s">
        <v>643</v>
      </c>
      <c r="K20" s="1017" t="s">
        <v>643</v>
      </c>
      <c r="L20" s="1017" t="s">
        <v>643</v>
      </c>
      <c r="M20" s="1017" t="s">
        <v>643</v>
      </c>
      <c r="N20" s="1017" t="s">
        <v>643</v>
      </c>
      <c r="O20" s="1017" t="s">
        <v>643</v>
      </c>
      <c r="P20" s="1017" t="s">
        <v>643</v>
      </c>
      <c r="Q20" s="1017" t="s">
        <v>643</v>
      </c>
      <c r="R20" s="1017" t="s">
        <v>643</v>
      </c>
      <c r="S20" s="1017" t="s">
        <v>643</v>
      </c>
      <c r="T20" s="1017" t="s">
        <v>643</v>
      </c>
      <c r="U20" s="1017" t="s">
        <v>643</v>
      </c>
      <c r="V20" s="1017" t="s">
        <v>643</v>
      </c>
      <c r="W20" s="1017" t="s">
        <v>643</v>
      </c>
      <c r="X20" s="1017" t="s">
        <v>643</v>
      </c>
      <c r="Y20" s="1017" t="s">
        <v>643</v>
      </c>
      <c r="Z20" s="1017" t="s">
        <v>643</v>
      </c>
      <c r="AA20" s="1017" t="s">
        <v>643</v>
      </c>
      <c r="AB20" s="1017" t="s">
        <v>643</v>
      </c>
      <c r="AC20" s="1017" t="s">
        <v>643</v>
      </c>
      <c r="AD20" s="1017" t="s">
        <v>643</v>
      </c>
      <c r="AE20" s="1017" t="s">
        <v>643</v>
      </c>
      <c r="AF20" s="1017" t="s">
        <v>643</v>
      </c>
      <c r="AG20" s="1017" t="s">
        <v>643</v>
      </c>
      <c r="AH20" s="1017" t="s">
        <v>643</v>
      </c>
      <c r="AI20" s="1017" t="s">
        <v>643</v>
      </c>
      <c r="AJ20" s="1017" t="s">
        <v>643</v>
      </c>
      <c r="AK20" s="1017" t="s">
        <v>643</v>
      </c>
      <c r="AL20" s="1017" t="s">
        <v>643</v>
      </c>
      <c r="AM20" s="1017" t="s">
        <v>643</v>
      </c>
      <c r="AN20" s="1017" t="s">
        <v>643</v>
      </c>
    </row>
    <row r="21" spans="2:41" ht="15" x14ac:dyDescent="0.25">
      <c r="B21" s="1016">
        <v>3</v>
      </c>
      <c r="C21" s="1017">
        <v>2022</v>
      </c>
      <c r="D21" s="1017">
        <v>4030</v>
      </c>
      <c r="E21" s="1017">
        <v>2380</v>
      </c>
      <c r="F21" s="1017">
        <v>3610</v>
      </c>
      <c r="G21" s="1017">
        <v>2470</v>
      </c>
      <c r="H21" s="1017">
        <v>5320</v>
      </c>
      <c r="I21" s="1017">
        <v>1410</v>
      </c>
      <c r="J21" s="1017">
        <v>27760</v>
      </c>
      <c r="K21" s="1017">
        <v>1210</v>
      </c>
      <c r="L21" s="1017">
        <v>2660</v>
      </c>
      <c r="M21" s="1017">
        <v>1840</v>
      </c>
      <c r="N21" s="1017">
        <v>500</v>
      </c>
      <c r="O21" s="734">
        <f>'Rail Relocation'!$R$5*VLOOKUP(D21,'Rail Relocation'!$M$5:$N$29,2)/'Rail Relocation'!$Q$5</f>
        <v>5.8999999999999999E-3</v>
      </c>
      <c r="P21" s="734">
        <f>'Rail Relocation'!$R$5*VLOOKUP(E21,'Rail Relocation'!$M$5:$N$29,2)/'Rail Relocation'!$Q$5</f>
        <v>4.7958571428571425E-3</v>
      </c>
      <c r="Q21" s="734">
        <f>'Rail Relocation'!$R$5*VLOOKUP(F21,'Rail Relocation'!$M$5:$N$29,2)/'Rail Relocation'!$Q$5</f>
        <v>5.4729523809523813E-3</v>
      </c>
      <c r="R21" s="734">
        <f>'Rail Relocation'!$R$5*VLOOKUP(G21,'Rail Relocation'!$M$5:$N$29,2)/'Rail Relocation'!$Q$5</f>
        <v>4.7958571428571425E-3</v>
      </c>
      <c r="S21" s="734">
        <f>'Rail Relocation'!$R$5*VLOOKUP(H21,'Rail Relocation'!$M$5:$N$29,2)/'Rail Relocation'!$Q$5</f>
        <v>5.8999999999999999E-3</v>
      </c>
      <c r="T21" s="734">
        <f>'Rail Relocation'!$R$5*VLOOKUP(I21,'Rail Relocation'!$M$5:$N$29,2)/'Rail Relocation'!$Q$5</f>
        <v>4.1693333333333331E-3</v>
      </c>
      <c r="U21" s="734">
        <f>'Rail Relocation'!$R$5*VLOOKUP(J21,'Rail Relocation'!$M$5:$N$29,2)/'Rail Relocation'!$Q$5</f>
        <v>1.0532904761904762E-2</v>
      </c>
      <c r="V21" s="734">
        <f>'Rail Relocation'!$R$5*VLOOKUP(K21,'Rail Relocation'!$M$5:$N$29,2)/'Rail Relocation'!$Q$5</f>
        <v>3.7956666666666668E-3</v>
      </c>
      <c r="W21" s="734">
        <f>'Rail Relocation'!$R$5*VLOOKUP(L21,'Rail Relocation'!$M$5:$N$29,2)/'Rail Relocation'!$Q$5</f>
        <v>5.1414285714285711E-3</v>
      </c>
      <c r="X21" s="734">
        <f>'Rail Relocation'!$R$5*VLOOKUP(M21,'Rail Relocation'!$M$5:$N$29,2)/'Rail Relocation'!$Q$5</f>
        <v>4.4840000000000001E-3</v>
      </c>
      <c r="Y21" s="734">
        <f>'Rail Relocation'!$R$5*VLOOKUP(N21,'Rail Relocation'!$M$5:$N$29,2)/'Rail Relocation'!$Q$5</f>
        <v>3.1129523809523807E-3</v>
      </c>
      <c r="Z21" s="734">
        <f>1/(1+'Rail Relocation'!$E$4*'Rail Relocation'!$E$5*'Rail Relocation'!$E$6*'Rail Relocation'!$E$7*'Rail Relocation'!$E$8)</f>
        <v>1.5575965260442358E-2</v>
      </c>
      <c r="AA21" s="734">
        <f>(1-Z21)/(1+'Rail Relocation'!$J$4*'Rail Relocation'!$J$5*'Rail Relocation'!$J$6*'Rail Relocation'!$J$7)</f>
        <v>0.22394818472438099</v>
      </c>
      <c r="AB21" s="734">
        <f t="shared" ref="AB21:AB58" si="0">1-AA21-Z21</f>
        <v>0.7604758500151767</v>
      </c>
      <c r="AC21" s="960">
        <f t="shared" ref="AC21:AC58" si="1">O21*$Z21*$D$7+O21*$AA21*$D$11+O21*$AB21*$D$12</f>
        <v>1131.0025647674136</v>
      </c>
      <c r="AD21" s="960">
        <f t="shared" ref="AD21:AD58" si="2">P21*$Z21*$D$7+P21*$AA21*$D$11+P21*$AB21*$D$12</f>
        <v>919.34351336094039</v>
      </c>
      <c r="AE21" s="960">
        <f t="shared" ref="AE21:AE58" si="3">Q21*$Z21*$D$7+Q21*$AA21*$D$11+Q21*$AB21*$D$12</f>
        <v>1049.1395219842484</v>
      </c>
      <c r="AF21" s="960">
        <f t="shared" ref="AF21:AF58" si="4">R21*$Z21*$D$7+R21*$AA21*$D$11+R21*$AB21*$D$12</f>
        <v>919.34351336094039</v>
      </c>
      <c r="AG21" s="960">
        <f t="shared" ref="AG21:AG58" si="5">S21*$Z21*$D$7+S21*$AA21*$D$11+S21*$AB21*$D$12</f>
        <v>1131.0025647674136</v>
      </c>
      <c r="AH21" s="960">
        <f t="shared" ref="AH21:AH58" si="6">T21*$Z21*$D$7+T21*$AA21*$D$11+T21*$AB21*$D$12</f>
        <v>799.24181243563885</v>
      </c>
      <c r="AI21" s="960">
        <f t="shared" ref="AI21:AI58" si="7">U21*$Z21*$D$7+U21*$AA21*$D$11+U21*$AB21*$D$12</f>
        <v>2019.1088644347781</v>
      </c>
      <c r="AJ21" s="960">
        <f t="shared" ref="AJ21:AJ58" si="8">V21*$Z21*$D$7+V21*$AA21*$D$11+V21*$AB21*$D$12</f>
        <v>727.61165000036942</v>
      </c>
      <c r="AK21" s="960">
        <f t="shared" ref="AK21:AK58" si="9">W21*$Z21*$D$7+W21*$AA21*$D$11+W21*$AB21*$D$12</f>
        <v>985.58794929731744</v>
      </c>
      <c r="AL21" s="960">
        <f t="shared" ref="AL21:AL58" si="10">X21*$Z21*$D$7+X21*$AA21*$D$11+X21*$AB21*$D$12</f>
        <v>859.56194922323436</v>
      </c>
      <c r="AM21" s="960">
        <f t="shared" ref="AM21:AM58" si="11">Y21*$Z21*$D$7+Y21*$AA21*$D$11+Y21*$AB21*$D$12</f>
        <v>596.738496077283</v>
      </c>
      <c r="AN21" s="960">
        <f t="shared" ref="AN21:AN58" si="12">SUM(AC21:AM21)</f>
        <v>11137.68239970958</v>
      </c>
    </row>
    <row r="22" spans="2:41" ht="15" x14ac:dyDescent="0.25">
      <c r="B22" s="1016">
        <v>4</v>
      </c>
      <c r="C22" s="1017">
        <v>2023</v>
      </c>
      <c r="D22" s="1044">
        <f>D21+(D$28-D$21)/($C$28-$C$21)</f>
        <v>4364.2857142857147</v>
      </c>
      <c r="E22" s="1044">
        <f t="shared" ref="E22:E26" si="13">E21+(E$28-E$21)/($C$28-$C$21)</f>
        <v>2770</v>
      </c>
      <c r="F22" s="1044">
        <f t="shared" ref="F22:F26" si="14">F21+(F$28-F$21)/($C$28-$C$21)</f>
        <v>4201.4285714285716</v>
      </c>
      <c r="G22" s="1044">
        <f t="shared" ref="G22:G26" si="15">G21+(G$28-G$21)/($C$28-$C$21)</f>
        <v>2877.1428571428573</v>
      </c>
      <c r="H22" s="1044">
        <f t="shared" ref="H22:H26" si="16">H21+(H$28-H$21)/($C$28-$C$21)</f>
        <v>6194.2857142857147</v>
      </c>
      <c r="I22" s="1044">
        <f t="shared" ref="I22:I26" si="17">I21+(I$28-I$21)/($C$28-$C$21)</f>
        <v>1642.8571428571429</v>
      </c>
      <c r="J22" s="1044">
        <f t="shared" ref="J22:J26" si="18">J21+(J$28-J$21)/($C$28-$C$21)</f>
        <v>28747.142857142859</v>
      </c>
      <c r="K22" s="1044">
        <f t="shared" ref="K22:K26" si="19">K21+(K$28-K$21)/($C$28-$C$21)</f>
        <v>1408.5714285714287</v>
      </c>
      <c r="L22" s="1044">
        <f t="shared" ref="L22:L26" si="20">L21+(L$28-L$21)/($C$28-$C$21)</f>
        <v>3095.7142857142858</v>
      </c>
      <c r="M22" s="1044">
        <f t="shared" ref="M22:M26" si="21">M21+(M$28-M$21)/($C$28-$C$21)</f>
        <v>2141.4285714285716</v>
      </c>
      <c r="N22" s="1044">
        <f t="shared" ref="N22:N26" si="22">N21+(N$28-N$21)/($C$28-$C$21)</f>
        <v>500</v>
      </c>
      <c r="O22" s="734">
        <f>'Rail Relocation'!$R$5*VLOOKUP(D22,'Rail Relocation'!$M$5:$N$29,2)/'Rail Relocation'!$Q$5</f>
        <v>5.8999999999999999E-3</v>
      </c>
      <c r="P22" s="734">
        <f>'Rail Relocation'!$R$5*VLOOKUP(E22,'Rail Relocation'!$M$5:$N$29,2)/'Rail Relocation'!$Q$5</f>
        <v>5.1414285714285711E-3</v>
      </c>
      <c r="Q22" s="734">
        <f>'Rail Relocation'!$R$5*VLOOKUP(F22,'Rail Relocation'!$M$5:$N$29,2)/'Rail Relocation'!$Q$5</f>
        <v>5.8999999999999999E-3</v>
      </c>
      <c r="R22" s="734">
        <f>'Rail Relocation'!$R$5*VLOOKUP(G22,'Rail Relocation'!$M$5:$N$29,2)/'Rail Relocation'!$Q$5</f>
        <v>5.1414285714285711E-3</v>
      </c>
      <c r="S22" s="734">
        <f>'Rail Relocation'!$R$5*VLOOKUP(H22,'Rail Relocation'!$M$5:$N$29,2)/'Rail Relocation'!$Q$5</f>
        <v>6.5911428571428579E-3</v>
      </c>
      <c r="T22" s="734">
        <f>'Rail Relocation'!$R$5*VLOOKUP(I22,'Rail Relocation'!$M$5:$N$29,2)/'Rail Relocation'!$Q$5</f>
        <v>4.4840000000000001E-3</v>
      </c>
      <c r="U22" s="734">
        <f>'Rail Relocation'!$R$5*VLOOKUP(J22,'Rail Relocation'!$M$5:$N$29,2)/'Rail Relocation'!$Q$5</f>
        <v>1.0532904761904762E-2</v>
      </c>
      <c r="V22" s="734">
        <f>'Rail Relocation'!$R$5*VLOOKUP(K22,'Rail Relocation'!$M$5:$N$29,2)/'Rail Relocation'!$Q$5</f>
        <v>4.1693333333333331E-3</v>
      </c>
      <c r="W22" s="734">
        <f>'Rail Relocation'!$R$5*VLOOKUP(L22,'Rail Relocation'!$M$5:$N$29,2)/'Rail Relocation'!$Q$5</f>
        <v>5.4729523809523813E-3</v>
      </c>
      <c r="X22" s="734">
        <f>'Rail Relocation'!$R$5*VLOOKUP(M22,'Rail Relocation'!$M$5:$N$29,2)/'Rail Relocation'!$Q$5</f>
        <v>4.7958571428571425E-3</v>
      </c>
      <c r="Y22" s="734">
        <f>'Rail Relocation'!$R$5*VLOOKUP(N22,'Rail Relocation'!$M$5:$N$29,2)/'Rail Relocation'!$Q$5</f>
        <v>3.1129523809523807E-3</v>
      </c>
      <c r="Z22" s="734">
        <f>1/(1+'Rail Relocation'!$E$4*'Rail Relocation'!$E$5*'Rail Relocation'!$E$6*'Rail Relocation'!$E$7*'Rail Relocation'!$E$8)</f>
        <v>1.5575965260442358E-2</v>
      </c>
      <c r="AA22" s="734">
        <f>(1-Z22)/(1+'Rail Relocation'!$J$4*'Rail Relocation'!$J$5*'Rail Relocation'!$J$6*'Rail Relocation'!$J$7)</f>
        <v>0.22394818472438099</v>
      </c>
      <c r="AB22" s="734">
        <f t="shared" si="0"/>
        <v>0.7604758500151767</v>
      </c>
      <c r="AC22" s="960">
        <f t="shared" si="1"/>
        <v>1131.0025647674136</v>
      </c>
      <c r="AD22" s="960">
        <f t="shared" si="2"/>
        <v>985.58794929731744</v>
      </c>
      <c r="AE22" s="960">
        <f t="shared" si="3"/>
        <v>1131.0025647674136</v>
      </c>
      <c r="AF22" s="960">
        <f t="shared" si="4"/>
        <v>985.58794929731744</v>
      </c>
      <c r="AG22" s="960">
        <f t="shared" si="5"/>
        <v>1263.4914366401679</v>
      </c>
      <c r="AH22" s="960">
        <f t="shared" si="6"/>
        <v>859.56194922323436</v>
      </c>
      <c r="AI22" s="960">
        <f t="shared" si="7"/>
        <v>2019.1088644347781</v>
      </c>
      <c r="AJ22" s="960">
        <f t="shared" si="8"/>
        <v>799.24181243563885</v>
      </c>
      <c r="AK22" s="960">
        <f t="shared" si="9"/>
        <v>1049.1395219842484</v>
      </c>
      <c r="AL22" s="960">
        <f t="shared" si="10"/>
        <v>919.34351336094039</v>
      </c>
      <c r="AM22" s="960">
        <f t="shared" si="11"/>
        <v>596.738496077283</v>
      </c>
      <c r="AN22" s="960">
        <f t="shared" si="12"/>
        <v>11739.806622285754</v>
      </c>
    </row>
    <row r="23" spans="2:41" ht="15" x14ac:dyDescent="0.25">
      <c r="B23" s="1016">
        <v>5</v>
      </c>
      <c r="C23" s="1017">
        <v>2024</v>
      </c>
      <c r="D23" s="1044">
        <f t="shared" ref="D23:D26" si="23">D22+(D$28-D$21)/($C$28-$C$21)</f>
        <v>4698.5714285714294</v>
      </c>
      <c r="E23" s="1044">
        <f t="shared" si="13"/>
        <v>3160</v>
      </c>
      <c r="F23" s="1044">
        <f t="shared" si="14"/>
        <v>4792.8571428571431</v>
      </c>
      <c r="G23" s="1044">
        <f t="shared" si="15"/>
        <v>3284.2857142857147</v>
      </c>
      <c r="H23" s="1044">
        <f t="shared" si="16"/>
        <v>7068.5714285714294</v>
      </c>
      <c r="I23" s="1044">
        <f t="shared" si="17"/>
        <v>1875.7142857142858</v>
      </c>
      <c r="J23" s="1044">
        <f t="shared" si="18"/>
        <v>29734.285714285717</v>
      </c>
      <c r="K23" s="1044">
        <f t="shared" si="19"/>
        <v>1607.1428571428573</v>
      </c>
      <c r="L23" s="1044">
        <f t="shared" si="20"/>
        <v>3531.4285714285716</v>
      </c>
      <c r="M23" s="1044">
        <f t="shared" si="21"/>
        <v>2442.8571428571431</v>
      </c>
      <c r="N23" s="1044">
        <f t="shared" si="22"/>
        <v>500</v>
      </c>
      <c r="O23" s="734">
        <f>'Rail Relocation'!$R$5*VLOOKUP(D23,'Rail Relocation'!$M$5:$N$29,2)/'Rail Relocation'!$Q$5</f>
        <v>5.8999999999999999E-3</v>
      </c>
      <c r="P23" s="734">
        <f>'Rail Relocation'!$R$5*VLOOKUP(E23,'Rail Relocation'!$M$5:$N$29,2)/'Rail Relocation'!$Q$5</f>
        <v>5.4729523809523813E-3</v>
      </c>
      <c r="Q23" s="734">
        <f>'Rail Relocation'!$R$5*VLOOKUP(F23,'Rail Relocation'!$M$5:$N$29,2)/'Rail Relocation'!$Q$5</f>
        <v>5.8999999999999999E-3</v>
      </c>
      <c r="R23" s="734">
        <f>'Rail Relocation'!$R$5*VLOOKUP(G23,'Rail Relocation'!$M$5:$N$29,2)/'Rail Relocation'!$Q$5</f>
        <v>5.4729523809523813E-3</v>
      </c>
      <c r="S23" s="734">
        <f>'Rail Relocation'!$R$5*VLOOKUP(H23,'Rail Relocation'!$M$5:$N$29,2)/'Rail Relocation'!$Q$5</f>
        <v>6.5911428571428579E-3</v>
      </c>
      <c r="T23" s="734">
        <f>'Rail Relocation'!$R$5*VLOOKUP(I23,'Rail Relocation'!$M$5:$N$29,2)/'Rail Relocation'!$Q$5</f>
        <v>4.4840000000000001E-3</v>
      </c>
      <c r="U23" s="734">
        <f>'Rail Relocation'!$R$5*VLOOKUP(J23,'Rail Relocation'!$M$5:$N$29,2)/'Rail Relocation'!$Q$5</f>
        <v>1.0532904761904762E-2</v>
      </c>
      <c r="V23" s="734">
        <f>'Rail Relocation'!$R$5*VLOOKUP(K23,'Rail Relocation'!$M$5:$N$29,2)/'Rail Relocation'!$Q$5</f>
        <v>4.4840000000000001E-3</v>
      </c>
      <c r="W23" s="734">
        <f>'Rail Relocation'!$R$5*VLOOKUP(L23,'Rail Relocation'!$M$5:$N$29,2)/'Rail Relocation'!$Q$5</f>
        <v>5.4729523809523813E-3</v>
      </c>
      <c r="X23" s="734">
        <f>'Rail Relocation'!$R$5*VLOOKUP(M23,'Rail Relocation'!$M$5:$N$29,2)/'Rail Relocation'!$Q$5</f>
        <v>4.7958571428571425E-3</v>
      </c>
      <c r="Y23" s="734">
        <f>'Rail Relocation'!$R$5*VLOOKUP(N23,'Rail Relocation'!$M$5:$N$29,2)/'Rail Relocation'!$Q$5</f>
        <v>3.1129523809523807E-3</v>
      </c>
      <c r="Z23" s="734">
        <f>1/(1+'Rail Relocation'!$E$4*'Rail Relocation'!$E$5*'Rail Relocation'!$E$6*'Rail Relocation'!$E$7*'Rail Relocation'!$E$8)</f>
        <v>1.5575965260442358E-2</v>
      </c>
      <c r="AA23" s="734">
        <f>(1-Z23)/(1+'Rail Relocation'!$J$4*'Rail Relocation'!$J$5*'Rail Relocation'!$J$6*'Rail Relocation'!$J$7)</f>
        <v>0.22394818472438099</v>
      </c>
      <c r="AB23" s="734">
        <f t="shared" si="0"/>
        <v>0.7604758500151767</v>
      </c>
      <c r="AC23" s="960">
        <f t="shared" si="1"/>
        <v>1131.0025647674136</v>
      </c>
      <c r="AD23" s="960">
        <f t="shared" si="2"/>
        <v>1049.1395219842484</v>
      </c>
      <c r="AE23" s="960">
        <f t="shared" si="3"/>
        <v>1131.0025647674136</v>
      </c>
      <c r="AF23" s="960">
        <f t="shared" si="4"/>
        <v>1049.1395219842484</v>
      </c>
      <c r="AG23" s="960">
        <f t="shared" si="5"/>
        <v>1263.4914366401679</v>
      </c>
      <c r="AH23" s="960">
        <f t="shared" si="6"/>
        <v>859.56194922323436</v>
      </c>
      <c r="AI23" s="960">
        <f t="shared" si="7"/>
        <v>2019.1088644347781</v>
      </c>
      <c r="AJ23" s="960">
        <f t="shared" si="8"/>
        <v>859.56194922323436</v>
      </c>
      <c r="AK23" s="960">
        <f t="shared" si="9"/>
        <v>1049.1395219842484</v>
      </c>
      <c r="AL23" s="960">
        <f t="shared" si="10"/>
        <v>919.34351336094039</v>
      </c>
      <c r="AM23" s="960">
        <f t="shared" si="11"/>
        <v>596.738496077283</v>
      </c>
      <c r="AN23" s="960">
        <f t="shared" si="12"/>
        <v>11927.229904447211</v>
      </c>
    </row>
    <row r="24" spans="2:41" ht="15" x14ac:dyDescent="0.25">
      <c r="B24" s="1016">
        <v>6</v>
      </c>
      <c r="C24" s="1017">
        <v>2025</v>
      </c>
      <c r="D24" s="1044">
        <f t="shared" si="23"/>
        <v>5032.857142857144</v>
      </c>
      <c r="E24" s="1044">
        <f t="shared" si="13"/>
        <v>3550</v>
      </c>
      <c r="F24" s="1044">
        <f t="shared" si="14"/>
        <v>5384.2857142857147</v>
      </c>
      <c r="G24" s="1044">
        <f t="shared" si="15"/>
        <v>3691.428571428572</v>
      </c>
      <c r="H24" s="1044">
        <f t="shared" si="16"/>
        <v>7942.857142857144</v>
      </c>
      <c r="I24" s="1044">
        <f t="shared" si="17"/>
        <v>2108.5714285714284</v>
      </c>
      <c r="J24" s="1044">
        <f t="shared" si="18"/>
        <v>30721.428571428576</v>
      </c>
      <c r="K24" s="1044">
        <f t="shared" si="19"/>
        <v>1805.714285714286</v>
      </c>
      <c r="L24" s="1044">
        <f t="shared" si="20"/>
        <v>3967.1428571428573</v>
      </c>
      <c r="M24" s="1044">
        <f t="shared" si="21"/>
        <v>2744.2857142857147</v>
      </c>
      <c r="N24" s="1044">
        <f t="shared" si="22"/>
        <v>500</v>
      </c>
      <c r="O24" s="734">
        <f>'Rail Relocation'!$R$5*VLOOKUP(D24,'Rail Relocation'!$M$5:$N$29,2)/'Rail Relocation'!$Q$5</f>
        <v>5.8999999999999999E-3</v>
      </c>
      <c r="P24" s="734">
        <f>'Rail Relocation'!$R$5*VLOOKUP(E24,'Rail Relocation'!$M$5:$N$29,2)/'Rail Relocation'!$Q$5</f>
        <v>5.4729523809523813E-3</v>
      </c>
      <c r="Q24" s="734">
        <f>'Rail Relocation'!$R$5*VLOOKUP(F24,'Rail Relocation'!$M$5:$N$29,2)/'Rail Relocation'!$Q$5</f>
        <v>5.8999999999999999E-3</v>
      </c>
      <c r="R24" s="734">
        <f>'Rail Relocation'!$R$5*VLOOKUP(G24,'Rail Relocation'!$M$5:$N$29,2)/'Rail Relocation'!$Q$5</f>
        <v>5.4729523809523813E-3</v>
      </c>
      <c r="S24" s="734">
        <f>'Rail Relocation'!$R$5*VLOOKUP(H24,'Rail Relocation'!$M$5:$N$29,2)/'Rail Relocation'!$Q$5</f>
        <v>6.5911428571428579E-3</v>
      </c>
      <c r="T24" s="734">
        <f>'Rail Relocation'!$R$5*VLOOKUP(I24,'Rail Relocation'!$M$5:$N$29,2)/'Rail Relocation'!$Q$5</f>
        <v>4.7958571428571425E-3</v>
      </c>
      <c r="U24" s="734">
        <f>'Rail Relocation'!$R$5*VLOOKUP(J24,'Rail Relocation'!$M$5:$N$29,2)/'Rail Relocation'!$Q$5</f>
        <v>1.1212809523809522E-2</v>
      </c>
      <c r="V24" s="734">
        <f>'Rail Relocation'!$R$5*VLOOKUP(K24,'Rail Relocation'!$M$5:$N$29,2)/'Rail Relocation'!$Q$5</f>
        <v>4.4840000000000001E-3</v>
      </c>
      <c r="W24" s="734">
        <f>'Rail Relocation'!$R$5*VLOOKUP(L24,'Rail Relocation'!$M$5:$N$29,2)/'Rail Relocation'!$Q$5</f>
        <v>5.4729523809523813E-3</v>
      </c>
      <c r="X24" s="734">
        <f>'Rail Relocation'!$R$5*VLOOKUP(M24,'Rail Relocation'!$M$5:$N$29,2)/'Rail Relocation'!$Q$5</f>
        <v>5.1414285714285711E-3</v>
      </c>
      <c r="Y24" s="734">
        <f>'Rail Relocation'!$R$5*VLOOKUP(N24,'Rail Relocation'!$M$5:$N$29,2)/'Rail Relocation'!$Q$5</f>
        <v>3.1129523809523807E-3</v>
      </c>
      <c r="Z24" s="734">
        <f>1/(1+'Rail Relocation'!$E$4*'Rail Relocation'!$E$5*'Rail Relocation'!$E$6*'Rail Relocation'!$E$7*'Rail Relocation'!$E$8)</f>
        <v>1.5575965260442358E-2</v>
      </c>
      <c r="AA24" s="734">
        <f>(1-Z24)/(1+'Rail Relocation'!$J$4*'Rail Relocation'!$J$5*'Rail Relocation'!$J$6*'Rail Relocation'!$J$7)</f>
        <v>0.22394818472438099</v>
      </c>
      <c r="AB24" s="734">
        <f t="shared" si="0"/>
        <v>0.7604758500151767</v>
      </c>
      <c r="AC24" s="960">
        <f t="shared" si="1"/>
        <v>1131.0025647674136</v>
      </c>
      <c r="AD24" s="960">
        <f t="shared" si="2"/>
        <v>1049.1395219842484</v>
      </c>
      <c r="AE24" s="960">
        <f t="shared" si="3"/>
        <v>1131.0025647674136</v>
      </c>
      <c r="AF24" s="960">
        <f t="shared" si="4"/>
        <v>1049.1395219842484</v>
      </c>
      <c r="AG24" s="960">
        <f t="shared" si="5"/>
        <v>1263.4914366401679</v>
      </c>
      <c r="AH24" s="960">
        <f t="shared" si="6"/>
        <v>919.34351336094039</v>
      </c>
      <c r="AI24" s="960">
        <f t="shared" si="7"/>
        <v>2149.4434457079751</v>
      </c>
      <c r="AJ24" s="960">
        <f t="shared" si="8"/>
        <v>859.56194922323436</v>
      </c>
      <c r="AK24" s="960">
        <f t="shared" si="9"/>
        <v>1049.1395219842484</v>
      </c>
      <c r="AL24" s="960">
        <f t="shared" si="10"/>
        <v>985.58794929731744</v>
      </c>
      <c r="AM24" s="960">
        <f t="shared" si="11"/>
        <v>596.738496077283</v>
      </c>
      <c r="AN24" s="960">
        <f t="shared" si="12"/>
        <v>12183.590485794492</v>
      </c>
    </row>
    <row r="25" spans="2:41" ht="15" x14ac:dyDescent="0.25">
      <c r="B25" s="1016">
        <v>7</v>
      </c>
      <c r="C25" s="1017">
        <v>2026</v>
      </c>
      <c r="D25" s="1044">
        <f t="shared" si="23"/>
        <v>5367.1428571428587</v>
      </c>
      <c r="E25" s="1044">
        <f t="shared" si="13"/>
        <v>3940</v>
      </c>
      <c r="F25" s="1044">
        <f t="shared" si="14"/>
        <v>5975.7142857142862</v>
      </c>
      <c r="G25" s="1044">
        <f t="shared" si="15"/>
        <v>4098.5714285714294</v>
      </c>
      <c r="H25" s="1044">
        <f t="shared" si="16"/>
        <v>8817.1428571428587</v>
      </c>
      <c r="I25" s="1044">
        <f t="shared" si="17"/>
        <v>2341.4285714285711</v>
      </c>
      <c r="J25" s="1044">
        <f t="shared" si="18"/>
        <v>31708.571428571435</v>
      </c>
      <c r="K25" s="1044">
        <f t="shared" si="19"/>
        <v>2004.2857142857147</v>
      </c>
      <c r="L25" s="1044">
        <f t="shared" si="20"/>
        <v>4402.8571428571431</v>
      </c>
      <c r="M25" s="1044">
        <f t="shared" si="21"/>
        <v>3045.7142857142862</v>
      </c>
      <c r="N25" s="1044">
        <f t="shared" si="22"/>
        <v>500</v>
      </c>
      <c r="O25" s="734">
        <f>'Rail Relocation'!$R$5*VLOOKUP(D25,'Rail Relocation'!$M$5:$N$29,2)/'Rail Relocation'!$Q$5</f>
        <v>5.8999999999999999E-3</v>
      </c>
      <c r="P25" s="734">
        <f>'Rail Relocation'!$R$5*VLOOKUP(E25,'Rail Relocation'!$M$5:$N$29,2)/'Rail Relocation'!$Q$5</f>
        <v>5.4729523809523813E-3</v>
      </c>
      <c r="Q25" s="734">
        <f>'Rail Relocation'!$R$5*VLOOKUP(F25,'Rail Relocation'!$M$5:$N$29,2)/'Rail Relocation'!$Q$5</f>
        <v>5.8999999999999999E-3</v>
      </c>
      <c r="R25" s="734">
        <f>'Rail Relocation'!$R$5*VLOOKUP(G25,'Rail Relocation'!$M$5:$N$29,2)/'Rail Relocation'!$Q$5</f>
        <v>5.8999999999999999E-3</v>
      </c>
      <c r="S25" s="734">
        <f>'Rail Relocation'!$R$5*VLOOKUP(H25,'Rail Relocation'!$M$5:$N$29,2)/'Rail Relocation'!$Q$5</f>
        <v>7.3216190476190473E-3</v>
      </c>
      <c r="T25" s="734">
        <f>'Rail Relocation'!$R$5*VLOOKUP(I25,'Rail Relocation'!$M$5:$N$29,2)/'Rail Relocation'!$Q$5</f>
        <v>4.7958571428571425E-3</v>
      </c>
      <c r="U25" s="734">
        <f>'Rail Relocation'!$R$5*VLOOKUP(J25,'Rail Relocation'!$M$5:$N$29,2)/'Rail Relocation'!$Q$5</f>
        <v>1.1212809523809522E-2</v>
      </c>
      <c r="V25" s="734">
        <f>'Rail Relocation'!$R$5*VLOOKUP(K25,'Rail Relocation'!$M$5:$N$29,2)/'Rail Relocation'!$Q$5</f>
        <v>4.7958571428571425E-3</v>
      </c>
      <c r="W25" s="734">
        <f>'Rail Relocation'!$R$5*VLOOKUP(L25,'Rail Relocation'!$M$5:$N$29,2)/'Rail Relocation'!$Q$5</f>
        <v>5.8999999999999999E-3</v>
      </c>
      <c r="X25" s="734">
        <f>'Rail Relocation'!$R$5*VLOOKUP(M25,'Rail Relocation'!$M$5:$N$29,2)/'Rail Relocation'!$Q$5</f>
        <v>5.4729523809523813E-3</v>
      </c>
      <c r="Y25" s="734">
        <f>'Rail Relocation'!$R$5*VLOOKUP(N25,'Rail Relocation'!$M$5:$N$29,2)/'Rail Relocation'!$Q$5</f>
        <v>3.1129523809523807E-3</v>
      </c>
      <c r="Z25" s="734">
        <f>1/(1+'Rail Relocation'!$E$4*'Rail Relocation'!$E$5*'Rail Relocation'!$E$6*'Rail Relocation'!$E$7*'Rail Relocation'!$E$8)</f>
        <v>1.5575965260442358E-2</v>
      </c>
      <c r="AA25" s="734">
        <f>(1-Z25)/(1+'Rail Relocation'!$J$4*'Rail Relocation'!$J$5*'Rail Relocation'!$J$6*'Rail Relocation'!$J$7)</f>
        <v>0.22394818472438099</v>
      </c>
      <c r="AB25" s="734">
        <f t="shared" si="0"/>
        <v>0.7604758500151767</v>
      </c>
      <c r="AC25" s="960">
        <f t="shared" si="1"/>
        <v>1131.0025647674136</v>
      </c>
      <c r="AD25" s="960">
        <f t="shared" si="2"/>
        <v>1049.1395219842484</v>
      </c>
      <c r="AE25" s="960">
        <f t="shared" si="3"/>
        <v>1131.0025647674136</v>
      </c>
      <c r="AF25" s="960">
        <f t="shared" si="4"/>
        <v>1131.0025647674136</v>
      </c>
      <c r="AG25" s="960">
        <f t="shared" si="5"/>
        <v>1403.5203256113712</v>
      </c>
      <c r="AH25" s="960">
        <f t="shared" si="6"/>
        <v>919.34351336094039</v>
      </c>
      <c r="AI25" s="960">
        <f t="shared" si="7"/>
        <v>2149.4434457079751</v>
      </c>
      <c r="AJ25" s="960">
        <f t="shared" si="8"/>
        <v>919.34351336094039</v>
      </c>
      <c r="AK25" s="960">
        <f t="shared" si="9"/>
        <v>1131.0025647674136</v>
      </c>
      <c r="AL25" s="960">
        <f t="shared" si="10"/>
        <v>1049.1395219842484</v>
      </c>
      <c r="AM25" s="960">
        <f t="shared" si="11"/>
        <v>596.738496077283</v>
      </c>
      <c r="AN25" s="960">
        <f t="shared" si="12"/>
        <v>12610.678597156661</v>
      </c>
    </row>
    <row r="26" spans="2:41" ht="15" x14ac:dyDescent="0.25">
      <c r="B26" s="1016">
        <v>8</v>
      </c>
      <c r="C26" s="1017">
        <v>2027</v>
      </c>
      <c r="D26" s="1044">
        <f t="shared" si="23"/>
        <v>5701.4285714285734</v>
      </c>
      <c r="E26" s="1044">
        <f t="shared" si="13"/>
        <v>4330</v>
      </c>
      <c r="F26" s="1044">
        <f t="shared" si="14"/>
        <v>6567.1428571428578</v>
      </c>
      <c r="G26" s="1044">
        <f t="shared" si="15"/>
        <v>4505.7142857142862</v>
      </c>
      <c r="H26" s="1044">
        <f t="shared" si="16"/>
        <v>9691.4285714285725</v>
      </c>
      <c r="I26" s="1044">
        <f t="shared" si="17"/>
        <v>2574.2857142857138</v>
      </c>
      <c r="J26" s="1044">
        <f t="shared" si="18"/>
        <v>32695.714285714294</v>
      </c>
      <c r="K26" s="1044">
        <f t="shared" si="19"/>
        <v>2202.8571428571431</v>
      </c>
      <c r="L26" s="1044">
        <f t="shared" si="20"/>
        <v>4838.5714285714284</v>
      </c>
      <c r="M26" s="1044">
        <f t="shared" si="21"/>
        <v>3347.1428571428578</v>
      </c>
      <c r="N26" s="1044">
        <f t="shared" si="22"/>
        <v>500</v>
      </c>
      <c r="O26" s="734">
        <f>'Rail Relocation'!$R$5*VLOOKUP(D26,'Rail Relocation'!$M$5:$N$29,2)/'Rail Relocation'!$Q$5</f>
        <v>5.8999999999999999E-3</v>
      </c>
      <c r="P26" s="734">
        <f>'Rail Relocation'!$R$5*VLOOKUP(E26,'Rail Relocation'!$M$5:$N$29,2)/'Rail Relocation'!$Q$5</f>
        <v>5.8999999999999999E-3</v>
      </c>
      <c r="Q26" s="734">
        <f>'Rail Relocation'!$R$5*VLOOKUP(F26,'Rail Relocation'!$M$5:$N$29,2)/'Rail Relocation'!$Q$5</f>
        <v>6.5911428571428579E-3</v>
      </c>
      <c r="R26" s="734">
        <f>'Rail Relocation'!$R$5*VLOOKUP(G26,'Rail Relocation'!$M$5:$N$29,2)/'Rail Relocation'!$Q$5</f>
        <v>5.8999999999999999E-3</v>
      </c>
      <c r="S26" s="734">
        <f>'Rail Relocation'!$R$5*VLOOKUP(H26,'Rail Relocation'!$M$5:$N$29,2)/'Rail Relocation'!$Q$5</f>
        <v>7.3216190476190473E-3</v>
      </c>
      <c r="T26" s="734">
        <f>'Rail Relocation'!$R$5*VLOOKUP(I26,'Rail Relocation'!$M$5:$N$29,2)/'Rail Relocation'!$Q$5</f>
        <v>5.1414285714285711E-3</v>
      </c>
      <c r="U26" s="734">
        <f>'Rail Relocation'!$R$5*VLOOKUP(J26,'Rail Relocation'!$M$5:$N$29,2)/'Rail Relocation'!$Q$5</f>
        <v>1.1212809523809522E-2</v>
      </c>
      <c r="V26" s="734">
        <f>'Rail Relocation'!$R$5*VLOOKUP(K26,'Rail Relocation'!$M$5:$N$29,2)/'Rail Relocation'!$Q$5</f>
        <v>4.7958571428571425E-3</v>
      </c>
      <c r="W26" s="734">
        <f>'Rail Relocation'!$R$5*VLOOKUP(L26,'Rail Relocation'!$M$5:$N$29,2)/'Rail Relocation'!$Q$5</f>
        <v>5.8999999999999999E-3</v>
      </c>
      <c r="X26" s="734">
        <f>'Rail Relocation'!$R$5*VLOOKUP(M26,'Rail Relocation'!$M$5:$N$29,2)/'Rail Relocation'!$Q$5</f>
        <v>5.4729523809523813E-3</v>
      </c>
      <c r="Y26" s="734">
        <f>'Rail Relocation'!$R$5*VLOOKUP(N26,'Rail Relocation'!$M$5:$N$29,2)/'Rail Relocation'!$Q$5</f>
        <v>3.1129523809523807E-3</v>
      </c>
      <c r="Z26" s="734">
        <f>1/(1+'Rail Relocation'!$E$4*'Rail Relocation'!$E$5*'Rail Relocation'!$E$6*'Rail Relocation'!$E$7*'Rail Relocation'!$E$8)</f>
        <v>1.5575965260442358E-2</v>
      </c>
      <c r="AA26" s="734">
        <f>(1-Z26)/(1+'Rail Relocation'!$J$4*'Rail Relocation'!$J$5*'Rail Relocation'!$J$6*'Rail Relocation'!$J$7)</f>
        <v>0.22394818472438099</v>
      </c>
      <c r="AB26" s="734">
        <f t="shared" si="0"/>
        <v>0.7604758500151767</v>
      </c>
      <c r="AC26" s="960">
        <f t="shared" si="1"/>
        <v>1131.0025647674136</v>
      </c>
      <c r="AD26" s="960">
        <f t="shared" si="2"/>
        <v>1131.0025647674136</v>
      </c>
      <c r="AE26" s="960">
        <f t="shared" si="3"/>
        <v>1263.4914366401679</v>
      </c>
      <c r="AF26" s="960">
        <f t="shared" si="4"/>
        <v>1131.0025647674136</v>
      </c>
      <c r="AG26" s="960">
        <f t="shared" si="5"/>
        <v>1403.5203256113712</v>
      </c>
      <c r="AH26" s="960">
        <f t="shared" si="6"/>
        <v>985.58794929731744</v>
      </c>
      <c r="AI26" s="960">
        <f t="shared" si="7"/>
        <v>2149.4434457079751</v>
      </c>
      <c r="AJ26" s="960">
        <f t="shared" si="8"/>
        <v>919.34351336094039</v>
      </c>
      <c r="AK26" s="960">
        <f t="shared" si="9"/>
        <v>1131.0025647674136</v>
      </c>
      <c r="AL26" s="960">
        <f t="shared" si="10"/>
        <v>1049.1395219842484</v>
      </c>
      <c r="AM26" s="960">
        <f t="shared" si="11"/>
        <v>596.738496077283</v>
      </c>
      <c r="AN26" s="960">
        <f t="shared" si="12"/>
        <v>12891.274947748958</v>
      </c>
    </row>
    <row r="27" spans="2:41" ht="15" x14ac:dyDescent="0.25">
      <c r="B27" s="1016">
        <v>9</v>
      </c>
      <c r="C27" s="1017">
        <v>2028</v>
      </c>
      <c r="D27" s="1017">
        <v>4490</v>
      </c>
      <c r="E27" s="1017">
        <v>2910</v>
      </c>
      <c r="F27" s="1017">
        <v>4410</v>
      </c>
      <c r="G27" s="1017">
        <v>3030</v>
      </c>
      <c r="H27" s="1017">
        <v>6510</v>
      </c>
      <c r="I27" s="1017">
        <v>1730</v>
      </c>
      <c r="J27" s="1017">
        <v>29100</v>
      </c>
      <c r="K27" s="1017">
        <v>1480</v>
      </c>
      <c r="L27" s="1017">
        <v>3250</v>
      </c>
      <c r="M27" s="1017">
        <v>2250</v>
      </c>
      <c r="N27" s="1017">
        <v>500</v>
      </c>
      <c r="O27" s="734">
        <f>'Rail Relocation'!$R$5*VLOOKUP(D27,'Rail Relocation'!$M$5:$N$29,2)/'Rail Relocation'!$Q$5</f>
        <v>5.8999999999999999E-3</v>
      </c>
      <c r="P27" s="734">
        <f>'Rail Relocation'!$R$5*VLOOKUP(E27,'Rail Relocation'!$M$5:$N$29,2)/'Rail Relocation'!$Q$5</f>
        <v>5.1414285714285711E-3</v>
      </c>
      <c r="Q27" s="734">
        <f>'Rail Relocation'!$R$5*VLOOKUP(F27,'Rail Relocation'!$M$5:$N$29,2)/'Rail Relocation'!$Q$5</f>
        <v>5.8999999999999999E-3</v>
      </c>
      <c r="R27" s="734">
        <f>'Rail Relocation'!$R$5*VLOOKUP(G27,'Rail Relocation'!$M$5:$N$29,2)/'Rail Relocation'!$Q$5</f>
        <v>5.4729523809523813E-3</v>
      </c>
      <c r="S27" s="734">
        <f>'Rail Relocation'!$R$5*VLOOKUP(H27,'Rail Relocation'!$M$5:$N$29,2)/'Rail Relocation'!$Q$5</f>
        <v>6.5911428571428579E-3</v>
      </c>
      <c r="T27" s="734">
        <f>'Rail Relocation'!$R$5*VLOOKUP(I27,'Rail Relocation'!$M$5:$N$29,2)/'Rail Relocation'!$Q$5</f>
        <v>4.4840000000000001E-3</v>
      </c>
      <c r="U27" s="734">
        <f>'Rail Relocation'!$R$5*VLOOKUP(J27,'Rail Relocation'!$M$5:$N$29,2)/'Rail Relocation'!$Q$5</f>
        <v>1.0532904761904762E-2</v>
      </c>
      <c r="V27" s="734">
        <f>'Rail Relocation'!$R$5*VLOOKUP(K27,'Rail Relocation'!$M$5:$N$29,2)/'Rail Relocation'!$Q$5</f>
        <v>4.1693333333333331E-3</v>
      </c>
      <c r="W27" s="734">
        <f>'Rail Relocation'!$R$5*VLOOKUP(L27,'Rail Relocation'!$M$5:$N$29,2)/'Rail Relocation'!$Q$5</f>
        <v>5.4729523809523813E-3</v>
      </c>
      <c r="X27" s="734">
        <f>'Rail Relocation'!$R$5*VLOOKUP(M27,'Rail Relocation'!$M$5:$N$29,2)/'Rail Relocation'!$Q$5</f>
        <v>4.7958571428571425E-3</v>
      </c>
      <c r="Y27" s="734">
        <f>'Rail Relocation'!$R$5*VLOOKUP(N27,'Rail Relocation'!$M$5:$N$29,2)/'Rail Relocation'!$Q$5</f>
        <v>3.1129523809523807E-3</v>
      </c>
      <c r="Z27" s="734">
        <f>1/(1+'Rail Relocation'!$E$4*'Rail Relocation'!$E$5*'Rail Relocation'!$E$6*'Rail Relocation'!$E$7*'Rail Relocation'!$E$8)</f>
        <v>1.5575965260442358E-2</v>
      </c>
      <c r="AA27" s="734">
        <f>(1-Z27)/(1+'Rail Relocation'!$J$4*'Rail Relocation'!$J$5*'Rail Relocation'!$J$6*'Rail Relocation'!$J$7)</f>
        <v>0.22394818472438099</v>
      </c>
      <c r="AB27" s="734">
        <f t="shared" si="0"/>
        <v>0.7604758500151767</v>
      </c>
      <c r="AC27" s="960">
        <f t="shared" si="1"/>
        <v>1131.0025647674136</v>
      </c>
      <c r="AD27" s="960">
        <f t="shared" si="2"/>
        <v>985.58794929731744</v>
      </c>
      <c r="AE27" s="960">
        <f t="shared" si="3"/>
        <v>1131.0025647674136</v>
      </c>
      <c r="AF27" s="960">
        <f t="shared" si="4"/>
        <v>1049.1395219842484</v>
      </c>
      <c r="AG27" s="960">
        <f t="shared" si="5"/>
        <v>1263.4914366401679</v>
      </c>
      <c r="AH27" s="960">
        <f t="shared" si="6"/>
        <v>859.56194922323436</v>
      </c>
      <c r="AI27" s="960">
        <f t="shared" si="7"/>
        <v>2019.1088644347781</v>
      </c>
      <c r="AJ27" s="960">
        <f t="shared" si="8"/>
        <v>799.24181243563885</v>
      </c>
      <c r="AK27" s="960">
        <f t="shared" si="9"/>
        <v>1049.1395219842484</v>
      </c>
      <c r="AL27" s="960">
        <f t="shared" si="10"/>
        <v>919.34351336094039</v>
      </c>
      <c r="AM27" s="960">
        <f t="shared" si="11"/>
        <v>596.738496077283</v>
      </c>
      <c r="AN27" s="960">
        <f t="shared" si="12"/>
        <v>11803.358194972685</v>
      </c>
    </row>
    <row r="28" spans="2:41" ht="15" x14ac:dyDescent="0.25">
      <c r="B28" s="1016">
        <v>10</v>
      </c>
      <c r="C28" s="1017">
        <v>2029</v>
      </c>
      <c r="D28" s="1017">
        <v>6370</v>
      </c>
      <c r="E28" s="1017">
        <v>5110</v>
      </c>
      <c r="F28" s="1017">
        <v>7750</v>
      </c>
      <c r="G28" s="1017">
        <v>5320</v>
      </c>
      <c r="H28" s="1017">
        <v>11440</v>
      </c>
      <c r="I28" s="1017">
        <v>3040</v>
      </c>
      <c r="J28" s="1017">
        <v>34670</v>
      </c>
      <c r="K28" s="1017">
        <v>2600</v>
      </c>
      <c r="L28" s="1017">
        <v>5710</v>
      </c>
      <c r="M28" s="1017">
        <v>3950</v>
      </c>
      <c r="N28" s="1017">
        <v>500</v>
      </c>
      <c r="O28" s="734">
        <f>'Rail Relocation'!$R$5*VLOOKUP(D28,'Rail Relocation'!$M$5:$N$29,2)/'Rail Relocation'!$Q$5</f>
        <v>6.5911428571428579E-3</v>
      </c>
      <c r="P28" s="734">
        <f>'Rail Relocation'!$R$5*VLOOKUP(E28,'Rail Relocation'!$M$5:$N$29,2)/'Rail Relocation'!$Q$5</f>
        <v>5.8999999999999999E-3</v>
      </c>
      <c r="Q28" s="734">
        <f>'Rail Relocation'!$R$5*VLOOKUP(F28,'Rail Relocation'!$M$5:$N$29,2)/'Rail Relocation'!$Q$5</f>
        <v>6.5911428571428579E-3</v>
      </c>
      <c r="R28" s="734">
        <f>'Rail Relocation'!$R$5*VLOOKUP(G28,'Rail Relocation'!$M$5:$N$29,2)/'Rail Relocation'!$Q$5</f>
        <v>5.8999999999999999E-3</v>
      </c>
      <c r="S28" s="734">
        <f>'Rail Relocation'!$R$5*VLOOKUP(H28,'Rail Relocation'!$M$5:$N$29,2)/'Rail Relocation'!$Q$5</f>
        <v>7.9172380952380952E-3</v>
      </c>
      <c r="T28" s="734">
        <f>'Rail Relocation'!$R$5*VLOOKUP(I28,'Rail Relocation'!$M$5:$N$29,2)/'Rail Relocation'!$Q$5</f>
        <v>5.4729523809523813E-3</v>
      </c>
      <c r="U28" s="734">
        <f>'Rail Relocation'!$R$5*VLOOKUP(J28,'Rail Relocation'!$M$5:$N$29,2)/'Rail Relocation'!$Q$5</f>
        <v>1.1212809523809522E-2</v>
      </c>
      <c r="V28" s="734">
        <f>'Rail Relocation'!$R$5*VLOOKUP(K28,'Rail Relocation'!$M$5:$N$29,2)/'Rail Relocation'!$Q$5</f>
        <v>5.1414285714285711E-3</v>
      </c>
      <c r="W28" s="734">
        <f>'Rail Relocation'!$R$5*VLOOKUP(L28,'Rail Relocation'!$M$5:$N$29,2)/'Rail Relocation'!$Q$5</f>
        <v>5.8999999999999999E-3</v>
      </c>
      <c r="X28" s="734">
        <f>'Rail Relocation'!$R$5*VLOOKUP(M28,'Rail Relocation'!$M$5:$N$29,2)/'Rail Relocation'!$Q$5</f>
        <v>5.4729523809523813E-3</v>
      </c>
      <c r="Y28" s="734">
        <f>'Rail Relocation'!$R$5*VLOOKUP(N28,'Rail Relocation'!$M$5:$N$29,2)/'Rail Relocation'!$Q$5</f>
        <v>3.1129523809523807E-3</v>
      </c>
      <c r="Z28" s="734">
        <f>1/(1+'Rail Relocation'!$E$4*'Rail Relocation'!$E$5*'Rail Relocation'!$E$6*'Rail Relocation'!$E$7*'Rail Relocation'!$E$8)</f>
        <v>1.5575965260442358E-2</v>
      </c>
      <c r="AA28" s="734">
        <f>(1-Z28)/(1+'Rail Relocation'!$J$4*'Rail Relocation'!$J$5*'Rail Relocation'!$J$6*'Rail Relocation'!$J$7)</f>
        <v>0.22394818472438099</v>
      </c>
      <c r="AB28" s="734">
        <f t="shared" si="0"/>
        <v>0.7604758500151767</v>
      </c>
      <c r="AC28" s="960">
        <f t="shared" si="1"/>
        <v>1263.4914366401679</v>
      </c>
      <c r="AD28" s="960">
        <f t="shared" si="2"/>
        <v>1131.0025647674136</v>
      </c>
      <c r="AE28" s="960">
        <f t="shared" si="3"/>
        <v>1263.4914366401679</v>
      </c>
      <c r="AF28" s="960">
        <f t="shared" si="4"/>
        <v>1131.0025647674136</v>
      </c>
      <c r="AG28" s="960">
        <f t="shared" si="5"/>
        <v>1517.6977273878911</v>
      </c>
      <c r="AH28" s="960">
        <f t="shared" si="6"/>
        <v>1049.1395219842484</v>
      </c>
      <c r="AI28" s="960">
        <f t="shared" si="7"/>
        <v>2149.4434457079751</v>
      </c>
      <c r="AJ28" s="960">
        <f t="shared" si="8"/>
        <v>985.58794929731744</v>
      </c>
      <c r="AK28" s="960">
        <f t="shared" si="9"/>
        <v>1131.0025647674136</v>
      </c>
      <c r="AL28" s="960">
        <f t="shared" si="10"/>
        <v>1049.1395219842484</v>
      </c>
      <c r="AM28" s="960">
        <f t="shared" si="11"/>
        <v>596.738496077283</v>
      </c>
      <c r="AN28" s="960">
        <f t="shared" si="12"/>
        <v>13267.737230021541</v>
      </c>
    </row>
    <row r="29" spans="2:41" ht="15" x14ac:dyDescent="0.25">
      <c r="B29" s="1016">
        <v>11</v>
      </c>
      <c r="C29" s="1017">
        <v>2030</v>
      </c>
      <c r="D29" s="1044">
        <f>D28+(D$33-D$28)/($C$33-$C$28)</f>
        <v>6666</v>
      </c>
      <c r="E29" s="1044">
        <f t="shared" ref="E29:E32" si="24">E28+(E$33-E$28)/($C$33-$C$28)</f>
        <v>5456</v>
      </c>
      <c r="F29" s="1044">
        <f t="shared" ref="F29:F32" si="25">F28+(F$33-F$28)/($C$33-$C$28)</f>
        <v>8274</v>
      </c>
      <c r="G29" s="1044">
        <f t="shared" ref="G29:G32" si="26">G28+(G$33-G$28)/($C$33-$C$28)</f>
        <v>5680</v>
      </c>
      <c r="H29" s="1044">
        <f t="shared" ref="H29:H32" si="27">H28+(H$33-H$28)/($C$33-$C$28)</f>
        <v>12216</v>
      </c>
      <c r="I29" s="1044">
        <f t="shared" ref="I29:I32" si="28">I28+(I$33-I$28)/($C$33-$C$28)</f>
        <v>3246</v>
      </c>
      <c r="J29" s="1044">
        <f t="shared" ref="J29:J32" si="29">J28+(J$33-J$28)/($C$33-$C$28)</f>
        <v>35544</v>
      </c>
      <c r="K29" s="1044">
        <f t="shared" ref="K29:K32" si="30">K28+(K$33-K$28)/($C$33-$C$28)</f>
        <v>2776</v>
      </c>
      <c r="L29" s="1044">
        <f t="shared" ref="L29:L32" si="31">L28+(L$33-L$28)/($C$33-$C$28)</f>
        <v>6096</v>
      </c>
      <c r="M29" s="1044">
        <f t="shared" ref="M29:M32" si="32">M28+(M$33-M$28)/($C$33-$C$28)</f>
        <v>4216</v>
      </c>
      <c r="N29" s="1044">
        <f t="shared" ref="N29:N32" si="33">N28+(N$33-N$28)/($C$33-$C$28)</f>
        <v>500</v>
      </c>
      <c r="O29" s="734">
        <f>'Rail Relocation'!$R$5*VLOOKUP(D29,'Rail Relocation'!$M$5:$N$29,2)/'Rail Relocation'!$Q$5</f>
        <v>6.5911428571428579E-3</v>
      </c>
      <c r="P29" s="734">
        <f>'Rail Relocation'!$R$5*VLOOKUP(E29,'Rail Relocation'!$M$5:$N$29,2)/'Rail Relocation'!$Q$5</f>
        <v>5.8999999999999999E-3</v>
      </c>
      <c r="Q29" s="734">
        <f>'Rail Relocation'!$R$5*VLOOKUP(F29,'Rail Relocation'!$M$5:$N$29,2)/'Rail Relocation'!$Q$5</f>
        <v>7.3216190476190473E-3</v>
      </c>
      <c r="R29" s="734">
        <f>'Rail Relocation'!$R$5*VLOOKUP(G29,'Rail Relocation'!$M$5:$N$29,2)/'Rail Relocation'!$Q$5</f>
        <v>5.8999999999999999E-3</v>
      </c>
      <c r="S29" s="734">
        <f>'Rail Relocation'!$R$5*VLOOKUP(H29,'Rail Relocation'!$M$5:$N$29,2)/'Rail Relocation'!$Q$5</f>
        <v>7.9172380952380952E-3</v>
      </c>
      <c r="T29" s="734">
        <f>'Rail Relocation'!$R$5*VLOOKUP(I29,'Rail Relocation'!$M$5:$N$29,2)/'Rail Relocation'!$Q$5</f>
        <v>5.4729523809523813E-3</v>
      </c>
      <c r="U29" s="734">
        <f>'Rail Relocation'!$R$5*VLOOKUP(J29,'Rail Relocation'!$M$5:$N$29,2)/'Rail Relocation'!$Q$5</f>
        <v>1.1212809523809522E-2</v>
      </c>
      <c r="V29" s="734">
        <f>'Rail Relocation'!$R$5*VLOOKUP(K29,'Rail Relocation'!$M$5:$N$29,2)/'Rail Relocation'!$Q$5</f>
        <v>5.1414285714285711E-3</v>
      </c>
      <c r="W29" s="734">
        <f>'Rail Relocation'!$R$5*VLOOKUP(L29,'Rail Relocation'!$M$5:$N$29,2)/'Rail Relocation'!$Q$5</f>
        <v>6.5911428571428579E-3</v>
      </c>
      <c r="X29" s="734">
        <f>'Rail Relocation'!$R$5*VLOOKUP(M29,'Rail Relocation'!$M$5:$N$29,2)/'Rail Relocation'!$Q$5</f>
        <v>5.8999999999999999E-3</v>
      </c>
      <c r="Y29" s="734">
        <f>'Rail Relocation'!$R$5*VLOOKUP(N29,'Rail Relocation'!$M$5:$N$29,2)/'Rail Relocation'!$Q$5</f>
        <v>3.1129523809523807E-3</v>
      </c>
      <c r="Z29" s="734">
        <f>1/(1+'Rail Relocation'!$E$4*'Rail Relocation'!$E$5*'Rail Relocation'!$E$6*'Rail Relocation'!$E$7*'Rail Relocation'!$E$8)</f>
        <v>1.5575965260442358E-2</v>
      </c>
      <c r="AA29" s="734">
        <f>(1-Z29)/(1+'Rail Relocation'!$J$4*'Rail Relocation'!$J$5*'Rail Relocation'!$J$6*'Rail Relocation'!$J$7)</f>
        <v>0.22394818472438099</v>
      </c>
      <c r="AB29" s="734">
        <f t="shared" si="0"/>
        <v>0.7604758500151767</v>
      </c>
      <c r="AC29" s="960">
        <f t="shared" si="1"/>
        <v>1263.4914366401679</v>
      </c>
      <c r="AD29" s="960">
        <f t="shared" si="2"/>
        <v>1131.0025647674136</v>
      </c>
      <c r="AE29" s="960">
        <f t="shared" si="3"/>
        <v>1403.5203256113712</v>
      </c>
      <c r="AF29" s="960">
        <f t="shared" si="4"/>
        <v>1131.0025647674136</v>
      </c>
      <c r="AG29" s="960">
        <f t="shared" si="5"/>
        <v>1517.6977273878911</v>
      </c>
      <c r="AH29" s="960">
        <f t="shared" si="6"/>
        <v>1049.1395219842484</v>
      </c>
      <c r="AI29" s="960">
        <f t="shared" si="7"/>
        <v>2149.4434457079751</v>
      </c>
      <c r="AJ29" s="960">
        <f t="shared" si="8"/>
        <v>985.58794929731744</v>
      </c>
      <c r="AK29" s="960">
        <f t="shared" si="9"/>
        <v>1263.4914366401679</v>
      </c>
      <c r="AL29" s="960">
        <f t="shared" si="10"/>
        <v>1131.0025647674136</v>
      </c>
      <c r="AM29" s="960">
        <f t="shared" si="11"/>
        <v>596.738496077283</v>
      </c>
      <c r="AN29" s="960">
        <f t="shared" si="12"/>
        <v>13622.118033648665</v>
      </c>
    </row>
    <row r="30" spans="2:41" ht="15" x14ac:dyDescent="0.25">
      <c r="B30" s="1016">
        <v>12</v>
      </c>
      <c r="C30" s="1017">
        <v>2031</v>
      </c>
      <c r="D30" s="1044">
        <f>D29+(D$33-D$28)/($C$33-$C$28)</f>
        <v>6962</v>
      </c>
      <c r="E30" s="1044">
        <f t="shared" si="24"/>
        <v>5802</v>
      </c>
      <c r="F30" s="1044">
        <f t="shared" si="25"/>
        <v>8798</v>
      </c>
      <c r="G30" s="1044">
        <f t="shared" si="26"/>
        <v>6040</v>
      </c>
      <c r="H30" s="1044">
        <f t="shared" si="27"/>
        <v>12992</v>
      </c>
      <c r="I30" s="1044">
        <f t="shared" si="28"/>
        <v>3452</v>
      </c>
      <c r="J30" s="1044">
        <f t="shared" si="29"/>
        <v>36418</v>
      </c>
      <c r="K30" s="1044">
        <f t="shared" si="30"/>
        <v>2952</v>
      </c>
      <c r="L30" s="1044">
        <f t="shared" si="31"/>
        <v>6482</v>
      </c>
      <c r="M30" s="1044">
        <f t="shared" si="32"/>
        <v>4482</v>
      </c>
      <c r="N30" s="1044">
        <f t="shared" si="33"/>
        <v>500</v>
      </c>
      <c r="O30" s="734">
        <f>'Rail Relocation'!$R$5*VLOOKUP(D30,'Rail Relocation'!$M$5:$N$29,2)/'Rail Relocation'!$Q$5</f>
        <v>6.5911428571428579E-3</v>
      </c>
      <c r="P30" s="734">
        <f>'Rail Relocation'!$R$5*VLOOKUP(E30,'Rail Relocation'!$M$5:$N$29,2)/'Rail Relocation'!$Q$5</f>
        <v>5.8999999999999999E-3</v>
      </c>
      <c r="Q30" s="734">
        <f>'Rail Relocation'!$R$5*VLOOKUP(F30,'Rail Relocation'!$M$5:$N$29,2)/'Rail Relocation'!$Q$5</f>
        <v>7.3216190476190473E-3</v>
      </c>
      <c r="R30" s="734">
        <f>'Rail Relocation'!$R$5*VLOOKUP(G30,'Rail Relocation'!$M$5:$N$29,2)/'Rail Relocation'!$Q$5</f>
        <v>6.5911428571428579E-3</v>
      </c>
      <c r="S30" s="734">
        <f>'Rail Relocation'!$R$5*VLOOKUP(H30,'Rail Relocation'!$M$5:$N$29,2)/'Rail Relocation'!$Q$5</f>
        <v>7.9172380952380952E-3</v>
      </c>
      <c r="T30" s="734">
        <f>'Rail Relocation'!$R$5*VLOOKUP(I30,'Rail Relocation'!$M$5:$N$29,2)/'Rail Relocation'!$Q$5</f>
        <v>5.4729523809523813E-3</v>
      </c>
      <c r="U30" s="734">
        <f>'Rail Relocation'!$R$5*VLOOKUP(J30,'Rail Relocation'!$M$5:$N$29,2)/'Rail Relocation'!$Q$5</f>
        <v>1.1212809523809522E-2</v>
      </c>
      <c r="V30" s="734">
        <f>'Rail Relocation'!$R$5*VLOOKUP(K30,'Rail Relocation'!$M$5:$N$29,2)/'Rail Relocation'!$Q$5</f>
        <v>5.1414285714285711E-3</v>
      </c>
      <c r="W30" s="734">
        <f>'Rail Relocation'!$R$5*VLOOKUP(L30,'Rail Relocation'!$M$5:$N$29,2)/'Rail Relocation'!$Q$5</f>
        <v>6.5911428571428579E-3</v>
      </c>
      <c r="X30" s="734">
        <f>'Rail Relocation'!$R$5*VLOOKUP(M30,'Rail Relocation'!$M$5:$N$29,2)/'Rail Relocation'!$Q$5</f>
        <v>5.8999999999999999E-3</v>
      </c>
      <c r="Y30" s="734">
        <f>'Rail Relocation'!$R$5*VLOOKUP(N30,'Rail Relocation'!$M$5:$N$29,2)/'Rail Relocation'!$Q$5</f>
        <v>3.1129523809523807E-3</v>
      </c>
      <c r="Z30" s="734">
        <f>1/(1+'Rail Relocation'!$E$4*'Rail Relocation'!$E$5*'Rail Relocation'!$E$6*'Rail Relocation'!$E$7*'Rail Relocation'!$E$8)</f>
        <v>1.5575965260442358E-2</v>
      </c>
      <c r="AA30" s="734">
        <f>(1-Z30)/(1+'Rail Relocation'!$J$4*'Rail Relocation'!$J$5*'Rail Relocation'!$J$6*'Rail Relocation'!$J$7)</f>
        <v>0.22394818472438099</v>
      </c>
      <c r="AB30" s="734">
        <f t="shared" si="0"/>
        <v>0.7604758500151767</v>
      </c>
      <c r="AC30" s="960">
        <f t="shared" si="1"/>
        <v>1263.4914366401679</v>
      </c>
      <c r="AD30" s="960">
        <f t="shared" si="2"/>
        <v>1131.0025647674136</v>
      </c>
      <c r="AE30" s="960">
        <f t="shared" si="3"/>
        <v>1403.5203256113712</v>
      </c>
      <c r="AF30" s="960">
        <f t="shared" si="4"/>
        <v>1263.4914366401679</v>
      </c>
      <c r="AG30" s="960">
        <f t="shared" si="5"/>
        <v>1517.6977273878911</v>
      </c>
      <c r="AH30" s="960">
        <f t="shared" si="6"/>
        <v>1049.1395219842484</v>
      </c>
      <c r="AI30" s="960">
        <f t="shared" si="7"/>
        <v>2149.4434457079751</v>
      </c>
      <c r="AJ30" s="960">
        <f t="shared" si="8"/>
        <v>985.58794929731744</v>
      </c>
      <c r="AK30" s="960">
        <f t="shared" si="9"/>
        <v>1263.4914366401679</v>
      </c>
      <c r="AL30" s="960">
        <f t="shared" si="10"/>
        <v>1131.0025647674136</v>
      </c>
      <c r="AM30" s="960">
        <f t="shared" si="11"/>
        <v>596.738496077283</v>
      </c>
      <c r="AN30" s="960">
        <f t="shared" si="12"/>
        <v>13754.606905521419</v>
      </c>
    </row>
    <row r="31" spans="2:41" ht="15" x14ac:dyDescent="0.25">
      <c r="B31" s="1016">
        <v>13</v>
      </c>
      <c r="C31" s="1017">
        <v>2032</v>
      </c>
      <c r="D31" s="1044">
        <f>D30+(D$33-D$28)/($C$33-$C$28)</f>
        <v>7258</v>
      </c>
      <c r="E31" s="1044">
        <f t="shared" si="24"/>
        <v>6148</v>
      </c>
      <c r="F31" s="1044">
        <f t="shared" si="25"/>
        <v>9322</v>
      </c>
      <c r="G31" s="1044">
        <f t="shared" si="26"/>
        <v>6400</v>
      </c>
      <c r="H31" s="1044">
        <f t="shared" si="27"/>
        <v>13768</v>
      </c>
      <c r="I31" s="1044">
        <f t="shared" si="28"/>
        <v>3658</v>
      </c>
      <c r="J31" s="1044">
        <f t="shared" si="29"/>
        <v>37292</v>
      </c>
      <c r="K31" s="1044">
        <f t="shared" si="30"/>
        <v>3128</v>
      </c>
      <c r="L31" s="1044">
        <f t="shared" si="31"/>
        <v>6868</v>
      </c>
      <c r="M31" s="1044">
        <f t="shared" si="32"/>
        <v>4748</v>
      </c>
      <c r="N31" s="1044">
        <f t="shared" si="33"/>
        <v>500</v>
      </c>
      <c r="O31" s="734">
        <f>'Rail Relocation'!$R$5*VLOOKUP(D31,'Rail Relocation'!$M$5:$N$29,2)/'Rail Relocation'!$Q$5</f>
        <v>6.5911428571428579E-3</v>
      </c>
      <c r="P31" s="734">
        <f>'Rail Relocation'!$R$5*VLOOKUP(E31,'Rail Relocation'!$M$5:$N$29,2)/'Rail Relocation'!$Q$5</f>
        <v>6.5911428571428579E-3</v>
      </c>
      <c r="Q31" s="734">
        <f>'Rail Relocation'!$R$5*VLOOKUP(F31,'Rail Relocation'!$M$5:$N$29,2)/'Rail Relocation'!$Q$5</f>
        <v>7.3216190476190473E-3</v>
      </c>
      <c r="R31" s="734">
        <f>'Rail Relocation'!$R$5*VLOOKUP(G31,'Rail Relocation'!$M$5:$N$29,2)/'Rail Relocation'!$Q$5</f>
        <v>6.5911428571428579E-3</v>
      </c>
      <c r="S31" s="734">
        <f>'Rail Relocation'!$R$5*VLOOKUP(H31,'Rail Relocation'!$M$5:$N$29,2)/'Rail Relocation'!$Q$5</f>
        <v>7.9172380952380952E-3</v>
      </c>
      <c r="T31" s="734">
        <f>'Rail Relocation'!$R$5*VLOOKUP(I31,'Rail Relocation'!$M$5:$N$29,2)/'Rail Relocation'!$Q$5</f>
        <v>5.4729523809523813E-3</v>
      </c>
      <c r="U31" s="734">
        <f>'Rail Relocation'!$R$5*VLOOKUP(J31,'Rail Relocation'!$M$5:$N$29,2)/'Rail Relocation'!$Q$5</f>
        <v>1.1212809523809522E-2</v>
      </c>
      <c r="V31" s="734">
        <f>'Rail Relocation'!$R$5*VLOOKUP(K31,'Rail Relocation'!$M$5:$N$29,2)/'Rail Relocation'!$Q$5</f>
        <v>5.4729523809523813E-3</v>
      </c>
      <c r="W31" s="734">
        <f>'Rail Relocation'!$R$5*VLOOKUP(L31,'Rail Relocation'!$M$5:$N$29,2)/'Rail Relocation'!$Q$5</f>
        <v>6.5911428571428579E-3</v>
      </c>
      <c r="X31" s="734">
        <f>'Rail Relocation'!$R$5*VLOOKUP(M31,'Rail Relocation'!$M$5:$N$29,2)/'Rail Relocation'!$Q$5</f>
        <v>5.8999999999999999E-3</v>
      </c>
      <c r="Y31" s="734">
        <f>'Rail Relocation'!$R$5*VLOOKUP(N31,'Rail Relocation'!$M$5:$N$29,2)/'Rail Relocation'!$Q$5</f>
        <v>3.1129523809523807E-3</v>
      </c>
      <c r="Z31" s="734">
        <f>1/(1+'Rail Relocation'!$E$4*'Rail Relocation'!$E$5*'Rail Relocation'!$E$6*'Rail Relocation'!$E$7*'Rail Relocation'!$E$8)</f>
        <v>1.5575965260442358E-2</v>
      </c>
      <c r="AA31" s="734">
        <f>(1-Z31)/(1+'Rail Relocation'!$J$4*'Rail Relocation'!$J$5*'Rail Relocation'!$J$6*'Rail Relocation'!$J$7)</f>
        <v>0.22394818472438099</v>
      </c>
      <c r="AB31" s="734">
        <f t="shared" si="0"/>
        <v>0.7604758500151767</v>
      </c>
      <c r="AC31" s="960">
        <f t="shared" si="1"/>
        <v>1263.4914366401679</v>
      </c>
      <c r="AD31" s="960">
        <f t="shared" si="2"/>
        <v>1263.4914366401679</v>
      </c>
      <c r="AE31" s="960">
        <f t="shared" si="3"/>
        <v>1403.5203256113712</v>
      </c>
      <c r="AF31" s="960">
        <f t="shared" si="4"/>
        <v>1263.4914366401679</v>
      </c>
      <c r="AG31" s="960">
        <f t="shared" si="5"/>
        <v>1517.6977273878911</v>
      </c>
      <c r="AH31" s="960">
        <f t="shared" si="6"/>
        <v>1049.1395219842484</v>
      </c>
      <c r="AI31" s="960">
        <f t="shared" si="7"/>
        <v>2149.4434457079751</v>
      </c>
      <c r="AJ31" s="960">
        <f t="shared" si="8"/>
        <v>1049.1395219842484</v>
      </c>
      <c r="AK31" s="960">
        <f t="shared" si="9"/>
        <v>1263.4914366401679</v>
      </c>
      <c r="AL31" s="960">
        <f t="shared" si="10"/>
        <v>1131.0025647674136</v>
      </c>
      <c r="AM31" s="960">
        <f t="shared" si="11"/>
        <v>596.738496077283</v>
      </c>
      <c r="AN31" s="960">
        <f t="shared" si="12"/>
        <v>13950.647350081104</v>
      </c>
    </row>
    <row r="32" spans="2:41" ht="15" x14ac:dyDescent="0.25">
      <c r="B32" s="1016">
        <v>14</v>
      </c>
      <c r="C32" s="1017">
        <v>2033</v>
      </c>
      <c r="D32" s="1044">
        <f>D31+(D$33-D$28)/($C$33-$C$28)</f>
        <v>7554</v>
      </c>
      <c r="E32" s="1044">
        <f t="shared" si="24"/>
        <v>6494</v>
      </c>
      <c r="F32" s="1044">
        <f t="shared" si="25"/>
        <v>9846</v>
      </c>
      <c r="G32" s="1044">
        <f t="shared" si="26"/>
        <v>6760</v>
      </c>
      <c r="H32" s="1044">
        <f t="shared" si="27"/>
        <v>14544</v>
      </c>
      <c r="I32" s="1044">
        <f t="shared" si="28"/>
        <v>3864</v>
      </c>
      <c r="J32" s="1044">
        <f t="shared" si="29"/>
        <v>38166</v>
      </c>
      <c r="K32" s="1044">
        <f t="shared" si="30"/>
        <v>3304</v>
      </c>
      <c r="L32" s="1044">
        <f t="shared" si="31"/>
        <v>7254</v>
      </c>
      <c r="M32" s="1044">
        <f t="shared" si="32"/>
        <v>5014</v>
      </c>
      <c r="N32" s="1044">
        <f t="shared" si="33"/>
        <v>500</v>
      </c>
      <c r="O32" s="734">
        <f>'Rail Relocation'!$R$5*VLOOKUP(D32,'Rail Relocation'!$M$5:$N$29,2)/'Rail Relocation'!$Q$5</f>
        <v>6.5911428571428579E-3</v>
      </c>
      <c r="P32" s="734">
        <f>'Rail Relocation'!$R$5*VLOOKUP(E32,'Rail Relocation'!$M$5:$N$29,2)/'Rail Relocation'!$Q$5</f>
        <v>6.5911428571428579E-3</v>
      </c>
      <c r="Q32" s="734">
        <f>'Rail Relocation'!$R$5*VLOOKUP(F32,'Rail Relocation'!$M$5:$N$29,2)/'Rail Relocation'!$Q$5</f>
        <v>7.3216190476190473E-3</v>
      </c>
      <c r="R32" s="734">
        <f>'Rail Relocation'!$R$5*VLOOKUP(G32,'Rail Relocation'!$M$5:$N$29,2)/'Rail Relocation'!$Q$5</f>
        <v>6.5911428571428579E-3</v>
      </c>
      <c r="S32" s="734">
        <f>'Rail Relocation'!$R$5*VLOOKUP(H32,'Rail Relocation'!$M$5:$N$29,2)/'Rail Relocation'!$Q$5</f>
        <v>7.9172380952380952E-3</v>
      </c>
      <c r="T32" s="734">
        <f>'Rail Relocation'!$R$5*VLOOKUP(I32,'Rail Relocation'!$M$5:$N$29,2)/'Rail Relocation'!$Q$5</f>
        <v>5.4729523809523813E-3</v>
      </c>
      <c r="U32" s="734">
        <f>'Rail Relocation'!$R$5*VLOOKUP(J32,'Rail Relocation'!$M$5:$N$29,2)/'Rail Relocation'!$Q$5</f>
        <v>1.1212809523809522E-2</v>
      </c>
      <c r="V32" s="734">
        <f>'Rail Relocation'!$R$5*VLOOKUP(K32,'Rail Relocation'!$M$5:$N$29,2)/'Rail Relocation'!$Q$5</f>
        <v>5.4729523809523813E-3</v>
      </c>
      <c r="W32" s="734">
        <f>'Rail Relocation'!$R$5*VLOOKUP(L32,'Rail Relocation'!$M$5:$N$29,2)/'Rail Relocation'!$Q$5</f>
        <v>6.5911428571428579E-3</v>
      </c>
      <c r="X32" s="734">
        <f>'Rail Relocation'!$R$5*VLOOKUP(M32,'Rail Relocation'!$M$5:$N$29,2)/'Rail Relocation'!$Q$5</f>
        <v>5.8999999999999999E-3</v>
      </c>
      <c r="Y32" s="734">
        <f>'Rail Relocation'!$R$5*VLOOKUP(N32,'Rail Relocation'!$M$5:$N$29,2)/'Rail Relocation'!$Q$5</f>
        <v>3.1129523809523807E-3</v>
      </c>
      <c r="Z32" s="734">
        <f>1/(1+'Rail Relocation'!$E$4*'Rail Relocation'!$E$5*'Rail Relocation'!$E$6*'Rail Relocation'!$E$7*'Rail Relocation'!$E$8)</f>
        <v>1.5575965260442358E-2</v>
      </c>
      <c r="AA32" s="734">
        <f>(1-Z32)/(1+'Rail Relocation'!$J$4*'Rail Relocation'!$J$5*'Rail Relocation'!$J$6*'Rail Relocation'!$J$7)</f>
        <v>0.22394818472438099</v>
      </c>
      <c r="AB32" s="734">
        <f t="shared" si="0"/>
        <v>0.7604758500151767</v>
      </c>
      <c r="AC32" s="960">
        <f t="shared" si="1"/>
        <v>1263.4914366401679</v>
      </c>
      <c r="AD32" s="960">
        <f t="shared" si="2"/>
        <v>1263.4914366401679</v>
      </c>
      <c r="AE32" s="960">
        <f t="shared" si="3"/>
        <v>1403.5203256113712</v>
      </c>
      <c r="AF32" s="960">
        <f t="shared" si="4"/>
        <v>1263.4914366401679</v>
      </c>
      <c r="AG32" s="960">
        <f t="shared" si="5"/>
        <v>1517.6977273878911</v>
      </c>
      <c r="AH32" s="960">
        <f t="shared" si="6"/>
        <v>1049.1395219842484</v>
      </c>
      <c r="AI32" s="960">
        <f t="shared" si="7"/>
        <v>2149.4434457079751</v>
      </c>
      <c r="AJ32" s="960">
        <f t="shared" si="8"/>
        <v>1049.1395219842484</v>
      </c>
      <c r="AK32" s="960">
        <f t="shared" si="9"/>
        <v>1263.4914366401679</v>
      </c>
      <c r="AL32" s="960">
        <f t="shared" si="10"/>
        <v>1131.0025647674136</v>
      </c>
      <c r="AM32" s="960">
        <f t="shared" si="11"/>
        <v>596.738496077283</v>
      </c>
      <c r="AN32" s="960">
        <f t="shared" si="12"/>
        <v>13950.647350081104</v>
      </c>
    </row>
    <row r="33" spans="2:40" ht="15" x14ac:dyDescent="0.25">
      <c r="B33" s="1016">
        <v>15</v>
      </c>
      <c r="C33" s="1017">
        <v>2034</v>
      </c>
      <c r="D33" s="1017">
        <v>7850</v>
      </c>
      <c r="E33" s="1017">
        <v>6840</v>
      </c>
      <c r="F33" s="1017">
        <v>10370</v>
      </c>
      <c r="G33" s="1017">
        <v>7120</v>
      </c>
      <c r="H33" s="1017">
        <v>15320</v>
      </c>
      <c r="I33" s="1017">
        <v>4070</v>
      </c>
      <c r="J33" s="1017">
        <v>39040</v>
      </c>
      <c r="K33" s="1017">
        <v>3480</v>
      </c>
      <c r="L33" s="1017">
        <v>7640</v>
      </c>
      <c r="M33" s="1017">
        <v>5280</v>
      </c>
      <c r="N33" s="1017">
        <v>500</v>
      </c>
      <c r="O33" s="734">
        <f>'Rail Relocation'!$R$5*VLOOKUP(D33,'Rail Relocation'!$M$5:$N$29,2)/'Rail Relocation'!$Q$5</f>
        <v>6.5911428571428579E-3</v>
      </c>
      <c r="P33" s="734">
        <f>'Rail Relocation'!$R$5*VLOOKUP(E33,'Rail Relocation'!$M$5:$N$29,2)/'Rail Relocation'!$Q$5</f>
        <v>6.5911428571428579E-3</v>
      </c>
      <c r="Q33" s="734">
        <f>'Rail Relocation'!$R$5*VLOOKUP(F33,'Rail Relocation'!$M$5:$N$29,2)/'Rail Relocation'!$Q$5</f>
        <v>7.9172380952380952E-3</v>
      </c>
      <c r="R33" s="734">
        <f>'Rail Relocation'!$R$5*VLOOKUP(G33,'Rail Relocation'!$M$5:$N$29,2)/'Rail Relocation'!$Q$5</f>
        <v>6.5911428571428579E-3</v>
      </c>
      <c r="S33" s="734">
        <f>'Rail Relocation'!$R$5*VLOOKUP(H33,'Rail Relocation'!$M$5:$N$29,2)/'Rail Relocation'!$Q$5</f>
        <v>8.7713333333333341E-3</v>
      </c>
      <c r="T33" s="734">
        <f>'Rail Relocation'!$R$5*VLOOKUP(I33,'Rail Relocation'!$M$5:$N$29,2)/'Rail Relocation'!$Q$5</f>
        <v>5.8999999999999999E-3</v>
      </c>
      <c r="U33" s="734">
        <f>'Rail Relocation'!$R$5*VLOOKUP(J33,'Rail Relocation'!$M$5:$N$29,2)/'Rail Relocation'!$Q$5</f>
        <v>1.1212809523809522E-2</v>
      </c>
      <c r="V33" s="734">
        <f>'Rail Relocation'!$R$5*VLOOKUP(K33,'Rail Relocation'!$M$5:$N$29,2)/'Rail Relocation'!$Q$5</f>
        <v>5.4729523809523813E-3</v>
      </c>
      <c r="W33" s="734">
        <f>'Rail Relocation'!$R$5*VLOOKUP(L33,'Rail Relocation'!$M$5:$N$29,2)/'Rail Relocation'!$Q$5</f>
        <v>6.5911428571428579E-3</v>
      </c>
      <c r="X33" s="734">
        <f>'Rail Relocation'!$R$5*VLOOKUP(M33,'Rail Relocation'!$M$5:$N$29,2)/'Rail Relocation'!$Q$5</f>
        <v>5.8999999999999999E-3</v>
      </c>
      <c r="Y33" s="734">
        <f>'Rail Relocation'!$R$5*VLOOKUP(N33,'Rail Relocation'!$M$5:$N$29,2)/'Rail Relocation'!$Q$5</f>
        <v>3.1129523809523807E-3</v>
      </c>
      <c r="Z33" s="734">
        <f>1/(1+'Rail Relocation'!$E$4*'Rail Relocation'!$E$5*'Rail Relocation'!$E$6*'Rail Relocation'!$E$7*'Rail Relocation'!$E$8)</f>
        <v>1.5575965260442358E-2</v>
      </c>
      <c r="AA33" s="734">
        <f>(1-Z33)/(1+'Rail Relocation'!$J$4*'Rail Relocation'!$J$5*'Rail Relocation'!$J$6*'Rail Relocation'!$J$7)</f>
        <v>0.22394818472438099</v>
      </c>
      <c r="AB33" s="734">
        <f t="shared" si="0"/>
        <v>0.7604758500151767</v>
      </c>
      <c r="AC33" s="960">
        <f t="shared" si="1"/>
        <v>1263.4914366401679</v>
      </c>
      <c r="AD33" s="960">
        <f t="shared" si="2"/>
        <v>1263.4914366401679</v>
      </c>
      <c r="AE33" s="960">
        <f t="shared" si="3"/>
        <v>1517.6977273878911</v>
      </c>
      <c r="AF33" s="960">
        <f t="shared" si="4"/>
        <v>1263.4914366401679</v>
      </c>
      <c r="AG33" s="960">
        <f t="shared" si="5"/>
        <v>1681.4238129542216</v>
      </c>
      <c r="AH33" s="960">
        <f t="shared" si="6"/>
        <v>1131.0025647674136</v>
      </c>
      <c r="AI33" s="960">
        <f t="shared" si="7"/>
        <v>2149.4434457079751</v>
      </c>
      <c r="AJ33" s="960">
        <f t="shared" si="8"/>
        <v>1049.1395219842484</v>
      </c>
      <c r="AK33" s="960">
        <f t="shared" si="9"/>
        <v>1263.4914366401679</v>
      </c>
      <c r="AL33" s="960">
        <f t="shared" si="10"/>
        <v>1131.0025647674136</v>
      </c>
      <c r="AM33" s="960">
        <f t="shared" si="11"/>
        <v>596.738496077283</v>
      </c>
      <c r="AN33" s="960">
        <f t="shared" si="12"/>
        <v>14310.413880207119</v>
      </c>
    </row>
    <row r="34" spans="2:40" ht="15" x14ac:dyDescent="0.25">
      <c r="B34" s="1016">
        <v>16</v>
      </c>
      <c r="C34" s="1017">
        <v>2035</v>
      </c>
      <c r="D34" s="1044">
        <f>D32+(D$38-D$32)/($C$38-$C$32)</f>
        <v>7760</v>
      </c>
      <c r="E34" s="1044">
        <f t="shared" ref="E34:N34" si="34">E32+(E$38-E$32)/($C$38-$C$32)</f>
        <v>6735</v>
      </c>
      <c r="F34" s="1044">
        <f t="shared" si="34"/>
        <v>10211.666666666666</v>
      </c>
      <c r="G34" s="1044">
        <f t="shared" si="34"/>
        <v>7010</v>
      </c>
      <c r="H34" s="1044">
        <f t="shared" si="34"/>
        <v>15083.333333333334</v>
      </c>
      <c r="I34" s="1044">
        <f t="shared" si="34"/>
        <v>4006.6666666666665</v>
      </c>
      <c r="J34" s="1044">
        <f t="shared" si="34"/>
        <v>38775</v>
      </c>
      <c r="K34" s="1044">
        <f t="shared" si="34"/>
        <v>3426.6666666666665</v>
      </c>
      <c r="L34" s="1044">
        <f t="shared" si="34"/>
        <v>7523.333333333333</v>
      </c>
      <c r="M34" s="1044">
        <f t="shared" si="34"/>
        <v>5200</v>
      </c>
      <c r="N34" s="1044">
        <f t="shared" si="34"/>
        <v>500</v>
      </c>
      <c r="O34" s="734">
        <f>'Rail Relocation'!$R$5*VLOOKUP(D34,'Rail Relocation'!$M$5:$N$29,2)/'Rail Relocation'!$Q$5</f>
        <v>6.5911428571428579E-3</v>
      </c>
      <c r="P34" s="734">
        <f>'Rail Relocation'!$R$5*VLOOKUP(E34,'Rail Relocation'!$M$5:$N$29,2)/'Rail Relocation'!$Q$5</f>
        <v>6.5911428571428579E-3</v>
      </c>
      <c r="Q34" s="734">
        <f>'Rail Relocation'!$R$5*VLOOKUP(F34,'Rail Relocation'!$M$5:$N$29,2)/'Rail Relocation'!$Q$5</f>
        <v>7.9172380952380952E-3</v>
      </c>
      <c r="R34" s="734">
        <f>'Rail Relocation'!$R$5*VLOOKUP(G34,'Rail Relocation'!$M$5:$N$29,2)/'Rail Relocation'!$Q$5</f>
        <v>6.5911428571428579E-3</v>
      </c>
      <c r="S34" s="734">
        <f>'Rail Relocation'!$R$5*VLOOKUP(H34,'Rail Relocation'!$M$5:$N$29,2)/'Rail Relocation'!$Q$5</f>
        <v>8.7713333333333341E-3</v>
      </c>
      <c r="T34" s="734">
        <f>'Rail Relocation'!$R$5*VLOOKUP(I34,'Rail Relocation'!$M$5:$N$29,2)/'Rail Relocation'!$Q$5</f>
        <v>5.8999999999999999E-3</v>
      </c>
      <c r="U34" s="734">
        <f>'Rail Relocation'!$R$5*VLOOKUP(J34,'Rail Relocation'!$M$5:$N$29,2)/'Rail Relocation'!$Q$5</f>
        <v>1.1212809523809522E-2</v>
      </c>
      <c r="V34" s="734">
        <f>'Rail Relocation'!$R$5*VLOOKUP(K34,'Rail Relocation'!$M$5:$N$29,2)/'Rail Relocation'!$Q$5</f>
        <v>5.4729523809523813E-3</v>
      </c>
      <c r="W34" s="734">
        <f>'Rail Relocation'!$R$5*VLOOKUP(L34,'Rail Relocation'!$M$5:$N$29,2)/'Rail Relocation'!$Q$5</f>
        <v>6.5911428571428579E-3</v>
      </c>
      <c r="X34" s="734">
        <f>'Rail Relocation'!$R$5*VLOOKUP(M34,'Rail Relocation'!$M$5:$N$29,2)/'Rail Relocation'!$Q$5</f>
        <v>5.8999999999999999E-3</v>
      </c>
      <c r="Y34" s="734">
        <f>'Rail Relocation'!$R$5*VLOOKUP(N34,'Rail Relocation'!$M$5:$N$29,2)/'Rail Relocation'!$Q$5</f>
        <v>3.1129523809523807E-3</v>
      </c>
      <c r="Z34" s="734">
        <f>1/(1+'Rail Relocation'!$E$4*'Rail Relocation'!$E$5*'Rail Relocation'!$E$6*'Rail Relocation'!$E$7*'Rail Relocation'!$E$8)</f>
        <v>1.5575965260442358E-2</v>
      </c>
      <c r="AA34" s="734">
        <f>(1-Z34)/(1+'Rail Relocation'!$J$4*'Rail Relocation'!$J$5*'Rail Relocation'!$J$6*'Rail Relocation'!$J$7)</f>
        <v>0.22394818472438099</v>
      </c>
      <c r="AB34" s="734">
        <f t="shared" si="0"/>
        <v>0.7604758500151767</v>
      </c>
      <c r="AC34" s="960">
        <f t="shared" si="1"/>
        <v>1263.4914366401679</v>
      </c>
      <c r="AD34" s="960">
        <f t="shared" si="2"/>
        <v>1263.4914366401679</v>
      </c>
      <c r="AE34" s="960">
        <f t="shared" si="3"/>
        <v>1517.6977273878911</v>
      </c>
      <c r="AF34" s="960">
        <f t="shared" si="4"/>
        <v>1263.4914366401679</v>
      </c>
      <c r="AG34" s="960">
        <f t="shared" si="5"/>
        <v>1681.4238129542216</v>
      </c>
      <c r="AH34" s="960">
        <f t="shared" si="6"/>
        <v>1131.0025647674136</v>
      </c>
      <c r="AI34" s="960">
        <f t="shared" si="7"/>
        <v>2149.4434457079751</v>
      </c>
      <c r="AJ34" s="960">
        <f t="shared" si="8"/>
        <v>1049.1395219842484</v>
      </c>
      <c r="AK34" s="960">
        <f t="shared" si="9"/>
        <v>1263.4914366401679</v>
      </c>
      <c r="AL34" s="960">
        <f t="shared" si="10"/>
        <v>1131.0025647674136</v>
      </c>
      <c r="AM34" s="960">
        <f t="shared" si="11"/>
        <v>596.738496077283</v>
      </c>
      <c r="AN34" s="960">
        <f t="shared" si="12"/>
        <v>14310.413880207119</v>
      </c>
    </row>
    <row r="35" spans="2:40" ht="15" x14ac:dyDescent="0.25">
      <c r="B35" s="1016">
        <v>17</v>
      </c>
      <c r="C35" s="1017">
        <v>2036</v>
      </c>
      <c r="D35" s="1044">
        <f t="shared" ref="D35:N35" si="35">D33+(D$38-D$32)/($C$38-$C$32)</f>
        <v>8056</v>
      </c>
      <c r="E35" s="1044">
        <f t="shared" si="35"/>
        <v>7081</v>
      </c>
      <c r="F35" s="1044">
        <f t="shared" si="35"/>
        <v>10735.666666666666</v>
      </c>
      <c r="G35" s="1044">
        <f t="shared" si="35"/>
        <v>7370</v>
      </c>
      <c r="H35" s="1044">
        <f t="shared" si="35"/>
        <v>15859.333333333334</v>
      </c>
      <c r="I35" s="1044">
        <f t="shared" si="35"/>
        <v>4212.666666666667</v>
      </c>
      <c r="J35" s="1044">
        <f t="shared" si="35"/>
        <v>39649</v>
      </c>
      <c r="K35" s="1044">
        <f t="shared" si="35"/>
        <v>3602.6666666666665</v>
      </c>
      <c r="L35" s="1044">
        <f t="shared" si="35"/>
        <v>7909.333333333333</v>
      </c>
      <c r="M35" s="1044">
        <f t="shared" si="35"/>
        <v>5466</v>
      </c>
      <c r="N35" s="1044">
        <f t="shared" si="35"/>
        <v>500</v>
      </c>
      <c r="O35" s="734">
        <f>'Rail Relocation'!$R$5*VLOOKUP(D35,'Rail Relocation'!$M$5:$N$29,2)/'Rail Relocation'!$Q$5</f>
        <v>7.3216190476190473E-3</v>
      </c>
      <c r="P35" s="734">
        <f>'Rail Relocation'!$R$5*VLOOKUP(E35,'Rail Relocation'!$M$5:$N$29,2)/'Rail Relocation'!$Q$5</f>
        <v>6.5911428571428579E-3</v>
      </c>
      <c r="Q35" s="734">
        <f>'Rail Relocation'!$R$5*VLOOKUP(F35,'Rail Relocation'!$M$5:$N$29,2)/'Rail Relocation'!$Q$5</f>
        <v>7.9172380952380952E-3</v>
      </c>
      <c r="R35" s="734">
        <f>'Rail Relocation'!$R$5*VLOOKUP(G35,'Rail Relocation'!$M$5:$N$29,2)/'Rail Relocation'!$Q$5</f>
        <v>6.5911428571428579E-3</v>
      </c>
      <c r="S35" s="734">
        <f>'Rail Relocation'!$R$5*VLOOKUP(H35,'Rail Relocation'!$M$5:$N$29,2)/'Rail Relocation'!$Q$5</f>
        <v>8.7713333333333341E-3</v>
      </c>
      <c r="T35" s="734">
        <f>'Rail Relocation'!$R$5*VLOOKUP(I35,'Rail Relocation'!$M$5:$N$29,2)/'Rail Relocation'!$Q$5</f>
        <v>5.8999999999999999E-3</v>
      </c>
      <c r="U35" s="734">
        <f>'Rail Relocation'!$R$5*VLOOKUP(J35,'Rail Relocation'!$M$5:$N$29,2)/'Rail Relocation'!$Q$5</f>
        <v>1.1212809523809522E-2</v>
      </c>
      <c r="V35" s="734">
        <f>'Rail Relocation'!$R$5*VLOOKUP(K35,'Rail Relocation'!$M$5:$N$29,2)/'Rail Relocation'!$Q$5</f>
        <v>5.4729523809523813E-3</v>
      </c>
      <c r="W35" s="734">
        <f>'Rail Relocation'!$R$5*VLOOKUP(L35,'Rail Relocation'!$M$5:$N$29,2)/'Rail Relocation'!$Q$5</f>
        <v>6.5911428571428579E-3</v>
      </c>
      <c r="X35" s="734">
        <f>'Rail Relocation'!$R$5*VLOOKUP(M35,'Rail Relocation'!$M$5:$N$29,2)/'Rail Relocation'!$Q$5</f>
        <v>5.8999999999999999E-3</v>
      </c>
      <c r="Y35" s="734">
        <f>'Rail Relocation'!$R$5*VLOOKUP(N35,'Rail Relocation'!$M$5:$N$29,2)/'Rail Relocation'!$Q$5</f>
        <v>3.1129523809523807E-3</v>
      </c>
      <c r="Z35" s="734">
        <f>1/(1+'Rail Relocation'!$E$4*'Rail Relocation'!$E$5*'Rail Relocation'!$E$6*'Rail Relocation'!$E$7*'Rail Relocation'!$E$8)</f>
        <v>1.5575965260442358E-2</v>
      </c>
      <c r="AA35" s="734">
        <f>(1-Z35)/(1+'Rail Relocation'!$J$4*'Rail Relocation'!$J$5*'Rail Relocation'!$J$6*'Rail Relocation'!$J$7)</f>
        <v>0.22394818472438099</v>
      </c>
      <c r="AB35" s="734">
        <f t="shared" si="0"/>
        <v>0.7604758500151767</v>
      </c>
      <c r="AC35" s="960">
        <f t="shared" si="1"/>
        <v>1403.5203256113712</v>
      </c>
      <c r="AD35" s="960">
        <f t="shared" si="2"/>
        <v>1263.4914366401679</v>
      </c>
      <c r="AE35" s="960">
        <f t="shared" si="3"/>
        <v>1517.6977273878911</v>
      </c>
      <c r="AF35" s="960">
        <f t="shared" si="4"/>
        <v>1263.4914366401679</v>
      </c>
      <c r="AG35" s="960">
        <f t="shared" si="5"/>
        <v>1681.4238129542216</v>
      </c>
      <c r="AH35" s="960">
        <f t="shared" si="6"/>
        <v>1131.0025647674136</v>
      </c>
      <c r="AI35" s="960">
        <f t="shared" si="7"/>
        <v>2149.4434457079751</v>
      </c>
      <c r="AJ35" s="960">
        <f t="shared" si="8"/>
        <v>1049.1395219842484</v>
      </c>
      <c r="AK35" s="960">
        <f t="shared" si="9"/>
        <v>1263.4914366401679</v>
      </c>
      <c r="AL35" s="960">
        <f t="shared" si="10"/>
        <v>1131.0025647674136</v>
      </c>
      <c r="AM35" s="960">
        <f t="shared" si="11"/>
        <v>596.738496077283</v>
      </c>
      <c r="AN35" s="960">
        <f t="shared" si="12"/>
        <v>14450.442769178322</v>
      </c>
    </row>
    <row r="36" spans="2:40" ht="15" x14ac:dyDescent="0.25">
      <c r="B36" s="1016">
        <v>18</v>
      </c>
      <c r="C36" s="1017">
        <v>2037</v>
      </c>
      <c r="D36" s="1044">
        <f t="shared" ref="D36:N36" si="36">D34+(D$38-D$32)/($C$38-$C$32)</f>
        <v>7966</v>
      </c>
      <c r="E36" s="1044">
        <f t="shared" si="36"/>
        <v>6976</v>
      </c>
      <c r="F36" s="1044">
        <f t="shared" si="36"/>
        <v>10577.333333333332</v>
      </c>
      <c r="G36" s="1044">
        <f t="shared" si="36"/>
        <v>7260</v>
      </c>
      <c r="H36" s="1044">
        <f t="shared" si="36"/>
        <v>15622.666666666668</v>
      </c>
      <c r="I36" s="1044">
        <f t="shared" si="36"/>
        <v>4149.333333333333</v>
      </c>
      <c r="J36" s="1044">
        <f t="shared" si="36"/>
        <v>39384</v>
      </c>
      <c r="K36" s="1044">
        <f t="shared" si="36"/>
        <v>3549.333333333333</v>
      </c>
      <c r="L36" s="1044">
        <f t="shared" si="36"/>
        <v>7792.6666666666661</v>
      </c>
      <c r="M36" s="1044">
        <f t="shared" si="36"/>
        <v>5386</v>
      </c>
      <c r="N36" s="1044">
        <f t="shared" si="36"/>
        <v>500</v>
      </c>
      <c r="O36" s="734">
        <f>'Rail Relocation'!$R$5*VLOOKUP(D36,'Rail Relocation'!$M$5:$N$29,2)/'Rail Relocation'!$Q$5</f>
        <v>6.5911428571428579E-3</v>
      </c>
      <c r="P36" s="734">
        <f>'Rail Relocation'!$R$5*VLOOKUP(E36,'Rail Relocation'!$M$5:$N$29,2)/'Rail Relocation'!$Q$5</f>
        <v>6.5911428571428579E-3</v>
      </c>
      <c r="Q36" s="734">
        <f>'Rail Relocation'!$R$5*VLOOKUP(F36,'Rail Relocation'!$M$5:$N$29,2)/'Rail Relocation'!$Q$5</f>
        <v>7.9172380952380952E-3</v>
      </c>
      <c r="R36" s="734">
        <f>'Rail Relocation'!$R$5*VLOOKUP(G36,'Rail Relocation'!$M$5:$N$29,2)/'Rail Relocation'!$Q$5</f>
        <v>6.5911428571428579E-3</v>
      </c>
      <c r="S36" s="734">
        <f>'Rail Relocation'!$R$5*VLOOKUP(H36,'Rail Relocation'!$M$5:$N$29,2)/'Rail Relocation'!$Q$5</f>
        <v>8.7713333333333341E-3</v>
      </c>
      <c r="T36" s="734">
        <f>'Rail Relocation'!$R$5*VLOOKUP(I36,'Rail Relocation'!$M$5:$N$29,2)/'Rail Relocation'!$Q$5</f>
        <v>5.8999999999999999E-3</v>
      </c>
      <c r="U36" s="734">
        <f>'Rail Relocation'!$R$5*VLOOKUP(J36,'Rail Relocation'!$M$5:$N$29,2)/'Rail Relocation'!$Q$5</f>
        <v>1.1212809523809522E-2</v>
      </c>
      <c r="V36" s="734">
        <f>'Rail Relocation'!$R$5*VLOOKUP(K36,'Rail Relocation'!$M$5:$N$29,2)/'Rail Relocation'!$Q$5</f>
        <v>5.4729523809523813E-3</v>
      </c>
      <c r="W36" s="734">
        <f>'Rail Relocation'!$R$5*VLOOKUP(L36,'Rail Relocation'!$M$5:$N$29,2)/'Rail Relocation'!$Q$5</f>
        <v>6.5911428571428579E-3</v>
      </c>
      <c r="X36" s="734">
        <f>'Rail Relocation'!$R$5*VLOOKUP(M36,'Rail Relocation'!$M$5:$N$29,2)/'Rail Relocation'!$Q$5</f>
        <v>5.8999999999999999E-3</v>
      </c>
      <c r="Y36" s="734">
        <f>'Rail Relocation'!$R$5*VLOOKUP(N36,'Rail Relocation'!$M$5:$N$29,2)/'Rail Relocation'!$Q$5</f>
        <v>3.1129523809523807E-3</v>
      </c>
      <c r="Z36" s="734">
        <f>1/(1+'Rail Relocation'!$E$4*'Rail Relocation'!$E$5*'Rail Relocation'!$E$6*'Rail Relocation'!$E$7*'Rail Relocation'!$E$8)</f>
        <v>1.5575965260442358E-2</v>
      </c>
      <c r="AA36" s="734">
        <f>(1-Z36)/(1+'Rail Relocation'!$J$4*'Rail Relocation'!$J$5*'Rail Relocation'!$J$6*'Rail Relocation'!$J$7)</f>
        <v>0.22394818472438099</v>
      </c>
      <c r="AB36" s="734">
        <f t="shared" si="0"/>
        <v>0.7604758500151767</v>
      </c>
      <c r="AC36" s="960">
        <f t="shared" si="1"/>
        <v>1263.4914366401679</v>
      </c>
      <c r="AD36" s="960">
        <f t="shared" si="2"/>
        <v>1263.4914366401679</v>
      </c>
      <c r="AE36" s="960">
        <f t="shared" si="3"/>
        <v>1517.6977273878911</v>
      </c>
      <c r="AF36" s="960">
        <f t="shared" si="4"/>
        <v>1263.4914366401679</v>
      </c>
      <c r="AG36" s="960">
        <f t="shared" si="5"/>
        <v>1681.4238129542216</v>
      </c>
      <c r="AH36" s="960">
        <f t="shared" si="6"/>
        <v>1131.0025647674136</v>
      </c>
      <c r="AI36" s="960">
        <f t="shared" si="7"/>
        <v>2149.4434457079751</v>
      </c>
      <c r="AJ36" s="960">
        <f t="shared" si="8"/>
        <v>1049.1395219842484</v>
      </c>
      <c r="AK36" s="960">
        <f t="shared" si="9"/>
        <v>1263.4914366401679</v>
      </c>
      <c r="AL36" s="960">
        <f t="shared" si="10"/>
        <v>1131.0025647674136</v>
      </c>
      <c r="AM36" s="960">
        <f t="shared" si="11"/>
        <v>596.738496077283</v>
      </c>
      <c r="AN36" s="960">
        <f t="shared" si="12"/>
        <v>14310.413880207119</v>
      </c>
    </row>
    <row r="37" spans="2:40" ht="15" x14ac:dyDescent="0.25">
      <c r="B37" s="1016">
        <v>19</v>
      </c>
      <c r="C37" s="1017">
        <v>2038</v>
      </c>
      <c r="D37" s="1044">
        <f t="shared" ref="D37:N37" si="37">D35+(D$38-D$32)/($C$38-$C$32)</f>
        <v>8262</v>
      </c>
      <c r="E37" s="1044">
        <f t="shared" si="37"/>
        <v>7322</v>
      </c>
      <c r="F37" s="1044">
        <f t="shared" si="37"/>
        <v>11101.333333333332</v>
      </c>
      <c r="G37" s="1044">
        <f t="shared" si="37"/>
        <v>7620</v>
      </c>
      <c r="H37" s="1044">
        <f t="shared" si="37"/>
        <v>16398.666666666668</v>
      </c>
      <c r="I37" s="1044">
        <f t="shared" si="37"/>
        <v>4355.3333333333339</v>
      </c>
      <c r="J37" s="1044">
        <f t="shared" si="37"/>
        <v>40258</v>
      </c>
      <c r="K37" s="1044">
        <f t="shared" si="37"/>
        <v>3725.333333333333</v>
      </c>
      <c r="L37" s="1044">
        <f t="shared" si="37"/>
        <v>8178.6666666666661</v>
      </c>
      <c r="M37" s="1044">
        <f t="shared" si="37"/>
        <v>5652</v>
      </c>
      <c r="N37" s="1044">
        <f t="shared" si="37"/>
        <v>500</v>
      </c>
      <c r="O37" s="734">
        <f>'Rail Relocation'!$R$5*VLOOKUP(D37,'Rail Relocation'!$M$5:$N$29,2)/'Rail Relocation'!$Q$5</f>
        <v>7.3216190476190473E-3</v>
      </c>
      <c r="P37" s="734">
        <f>'Rail Relocation'!$R$5*VLOOKUP(E37,'Rail Relocation'!$M$5:$N$29,2)/'Rail Relocation'!$Q$5</f>
        <v>6.5911428571428579E-3</v>
      </c>
      <c r="Q37" s="734">
        <f>'Rail Relocation'!$R$5*VLOOKUP(F37,'Rail Relocation'!$M$5:$N$29,2)/'Rail Relocation'!$Q$5</f>
        <v>7.9172380952380952E-3</v>
      </c>
      <c r="R37" s="734">
        <f>'Rail Relocation'!$R$5*VLOOKUP(G37,'Rail Relocation'!$M$5:$N$29,2)/'Rail Relocation'!$Q$5</f>
        <v>6.5911428571428579E-3</v>
      </c>
      <c r="S37" s="734">
        <f>'Rail Relocation'!$R$5*VLOOKUP(H37,'Rail Relocation'!$M$5:$N$29,2)/'Rail Relocation'!$Q$5</f>
        <v>8.7713333333333341E-3</v>
      </c>
      <c r="T37" s="734">
        <f>'Rail Relocation'!$R$5*VLOOKUP(I37,'Rail Relocation'!$M$5:$N$29,2)/'Rail Relocation'!$Q$5</f>
        <v>5.8999999999999999E-3</v>
      </c>
      <c r="U37" s="734">
        <f>'Rail Relocation'!$R$5*VLOOKUP(J37,'Rail Relocation'!$M$5:$N$29,2)/'Rail Relocation'!$Q$5</f>
        <v>1.2089380952380954E-2</v>
      </c>
      <c r="V37" s="734">
        <f>'Rail Relocation'!$R$5*VLOOKUP(K37,'Rail Relocation'!$M$5:$N$29,2)/'Rail Relocation'!$Q$5</f>
        <v>5.4729523809523813E-3</v>
      </c>
      <c r="W37" s="734">
        <f>'Rail Relocation'!$R$5*VLOOKUP(L37,'Rail Relocation'!$M$5:$N$29,2)/'Rail Relocation'!$Q$5</f>
        <v>7.3216190476190473E-3</v>
      </c>
      <c r="X37" s="734">
        <f>'Rail Relocation'!$R$5*VLOOKUP(M37,'Rail Relocation'!$M$5:$N$29,2)/'Rail Relocation'!$Q$5</f>
        <v>5.8999999999999999E-3</v>
      </c>
      <c r="Y37" s="734">
        <f>'Rail Relocation'!$R$5*VLOOKUP(N37,'Rail Relocation'!$M$5:$N$29,2)/'Rail Relocation'!$Q$5</f>
        <v>3.1129523809523807E-3</v>
      </c>
      <c r="Z37" s="734">
        <f>1/(1+'Rail Relocation'!$E$4*'Rail Relocation'!$E$5*'Rail Relocation'!$E$6*'Rail Relocation'!$E$7*'Rail Relocation'!$E$8)</f>
        <v>1.5575965260442358E-2</v>
      </c>
      <c r="AA37" s="734">
        <f>(1-Z37)/(1+'Rail Relocation'!$J$4*'Rail Relocation'!$J$5*'Rail Relocation'!$J$6*'Rail Relocation'!$J$7)</f>
        <v>0.22394818472438099</v>
      </c>
      <c r="AB37" s="734">
        <f t="shared" si="0"/>
        <v>0.7604758500151767</v>
      </c>
      <c r="AC37" s="960">
        <f t="shared" si="1"/>
        <v>1403.5203256113712</v>
      </c>
      <c r="AD37" s="960">
        <f t="shared" si="2"/>
        <v>1263.4914366401679</v>
      </c>
      <c r="AE37" s="960">
        <f t="shared" si="3"/>
        <v>1517.6977273878911</v>
      </c>
      <c r="AF37" s="960">
        <f t="shared" si="4"/>
        <v>1263.4914366401679</v>
      </c>
      <c r="AG37" s="960">
        <f t="shared" si="5"/>
        <v>1681.4238129542216</v>
      </c>
      <c r="AH37" s="960">
        <f t="shared" si="6"/>
        <v>1131.0025647674136</v>
      </c>
      <c r="AI37" s="960">
        <f t="shared" si="7"/>
        <v>2317.4781124734195</v>
      </c>
      <c r="AJ37" s="960">
        <f t="shared" si="8"/>
        <v>1049.1395219842484</v>
      </c>
      <c r="AK37" s="960">
        <f t="shared" si="9"/>
        <v>1403.5203256113712</v>
      </c>
      <c r="AL37" s="960">
        <f t="shared" si="10"/>
        <v>1131.0025647674136</v>
      </c>
      <c r="AM37" s="960">
        <f t="shared" si="11"/>
        <v>596.738496077283</v>
      </c>
      <c r="AN37" s="960">
        <f t="shared" si="12"/>
        <v>14758.50632491497</v>
      </c>
    </row>
    <row r="38" spans="2:40" ht="15" x14ac:dyDescent="0.25">
      <c r="B38" s="1016">
        <v>20</v>
      </c>
      <c r="C38" s="1017">
        <v>2039</v>
      </c>
      <c r="D38" s="1017">
        <v>8790</v>
      </c>
      <c r="E38" s="1017">
        <v>7940</v>
      </c>
      <c r="F38" s="1017">
        <v>12040</v>
      </c>
      <c r="G38" s="1017">
        <v>8260</v>
      </c>
      <c r="H38" s="1017">
        <v>17780</v>
      </c>
      <c r="I38" s="1017">
        <v>4720</v>
      </c>
      <c r="J38" s="1017">
        <v>41820</v>
      </c>
      <c r="K38" s="1017">
        <v>4040</v>
      </c>
      <c r="L38" s="1017">
        <v>8870</v>
      </c>
      <c r="M38" s="1017">
        <v>6130</v>
      </c>
      <c r="N38" s="1017">
        <v>500</v>
      </c>
      <c r="O38" s="734">
        <f>'Rail Relocation'!$R$5*VLOOKUP(D38,'Rail Relocation'!$M$5:$N$29,2)/'Rail Relocation'!$Q$5</f>
        <v>7.3216190476190473E-3</v>
      </c>
      <c r="P38" s="734">
        <f>'Rail Relocation'!$R$5*VLOOKUP(E38,'Rail Relocation'!$M$5:$N$29,2)/'Rail Relocation'!$Q$5</f>
        <v>6.5911428571428579E-3</v>
      </c>
      <c r="Q38" s="734">
        <f>'Rail Relocation'!$R$5*VLOOKUP(F38,'Rail Relocation'!$M$5:$N$29,2)/'Rail Relocation'!$Q$5</f>
        <v>7.9172380952380952E-3</v>
      </c>
      <c r="R38" s="734">
        <f>'Rail Relocation'!$R$5*VLOOKUP(G38,'Rail Relocation'!$M$5:$N$29,2)/'Rail Relocation'!$Q$5</f>
        <v>7.3216190476190473E-3</v>
      </c>
      <c r="S38" s="734">
        <f>'Rail Relocation'!$R$5*VLOOKUP(H38,'Rail Relocation'!$M$5:$N$29,2)/'Rail Relocation'!$Q$5</f>
        <v>8.7713333333333341E-3</v>
      </c>
      <c r="T38" s="734">
        <f>'Rail Relocation'!$R$5*VLOOKUP(I38,'Rail Relocation'!$M$5:$N$29,2)/'Rail Relocation'!$Q$5</f>
        <v>5.8999999999999999E-3</v>
      </c>
      <c r="U38" s="734">
        <f>'Rail Relocation'!$R$5*VLOOKUP(J38,'Rail Relocation'!$M$5:$N$29,2)/'Rail Relocation'!$Q$5</f>
        <v>1.2089380952380954E-2</v>
      </c>
      <c r="V38" s="734">
        <f>'Rail Relocation'!$R$5*VLOOKUP(K38,'Rail Relocation'!$M$5:$N$29,2)/'Rail Relocation'!$Q$5</f>
        <v>5.8999999999999999E-3</v>
      </c>
      <c r="W38" s="734">
        <f>'Rail Relocation'!$R$5*VLOOKUP(L38,'Rail Relocation'!$M$5:$N$29,2)/'Rail Relocation'!$Q$5</f>
        <v>7.3216190476190473E-3</v>
      </c>
      <c r="X38" s="734">
        <f>'Rail Relocation'!$R$5*VLOOKUP(M38,'Rail Relocation'!$M$5:$N$29,2)/'Rail Relocation'!$Q$5</f>
        <v>6.5911428571428579E-3</v>
      </c>
      <c r="Y38" s="734">
        <f>'Rail Relocation'!$R$5*VLOOKUP(N38,'Rail Relocation'!$M$5:$N$29,2)/'Rail Relocation'!$Q$5</f>
        <v>3.1129523809523807E-3</v>
      </c>
      <c r="Z38" s="734">
        <f>1/(1+'Rail Relocation'!$E$4*'Rail Relocation'!$E$5*'Rail Relocation'!$E$6*'Rail Relocation'!$E$7*'Rail Relocation'!$E$8)</f>
        <v>1.5575965260442358E-2</v>
      </c>
      <c r="AA38" s="734">
        <f>(1-Z38)/(1+'Rail Relocation'!$J$4*'Rail Relocation'!$J$5*'Rail Relocation'!$J$6*'Rail Relocation'!$J$7)</f>
        <v>0.22394818472438099</v>
      </c>
      <c r="AB38" s="734">
        <f t="shared" si="0"/>
        <v>0.7604758500151767</v>
      </c>
      <c r="AC38" s="960">
        <f t="shared" si="1"/>
        <v>1403.5203256113712</v>
      </c>
      <c r="AD38" s="960">
        <f t="shared" si="2"/>
        <v>1263.4914366401679</v>
      </c>
      <c r="AE38" s="960">
        <f t="shared" si="3"/>
        <v>1517.6977273878911</v>
      </c>
      <c r="AF38" s="960">
        <f t="shared" si="4"/>
        <v>1403.5203256113712</v>
      </c>
      <c r="AG38" s="960">
        <f t="shared" si="5"/>
        <v>1681.4238129542216</v>
      </c>
      <c r="AH38" s="960">
        <f t="shared" si="6"/>
        <v>1131.0025647674136</v>
      </c>
      <c r="AI38" s="960">
        <f t="shared" si="7"/>
        <v>2317.4781124734195</v>
      </c>
      <c r="AJ38" s="960">
        <f t="shared" si="8"/>
        <v>1131.0025647674136</v>
      </c>
      <c r="AK38" s="960">
        <f t="shared" si="9"/>
        <v>1403.5203256113712</v>
      </c>
      <c r="AL38" s="960">
        <f t="shared" si="10"/>
        <v>1263.4914366401679</v>
      </c>
      <c r="AM38" s="960">
        <f t="shared" si="11"/>
        <v>596.738496077283</v>
      </c>
      <c r="AN38" s="960">
        <f t="shared" si="12"/>
        <v>15112.887128542092</v>
      </c>
    </row>
    <row r="39" spans="2:40" ht="15" x14ac:dyDescent="0.25">
      <c r="B39" s="1016">
        <v>21</v>
      </c>
      <c r="C39" s="1017">
        <v>2040</v>
      </c>
      <c r="D39" s="1044">
        <f>D38*'Rates - Single'!$C$212</f>
        <v>8790</v>
      </c>
      <c r="E39" s="1044">
        <f>E38*'Rates - Single'!$C$212</f>
        <v>7940</v>
      </c>
      <c r="F39" s="1044">
        <f>F38*'Rates - Single'!$C$212</f>
        <v>12040</v>
      </c>
      <c r="G39" s="1044">
        <f>G38*'Rates - Single'!$C$212</f>
        <v>8260</v>
      </c>
      <c r="H39" s="1044">
        <f>H38*'Rates - Single'!$C$212</f>
        <v>17780</v>
      </c>
      <c r="I39" s="1044">
        <f>I38*'Rates - Single'!$C$212</f>
        <v>4720</v>
      </c>
      <c r="J39" s="1044">
        <f>J38*'Rates - Single'!$C$212</f>
        <v>41820</v>
      </c>
      <c r="K39" s="1044">
        <f>K38*'Rates - Single'!$C$212</f>
        <v>4040</v>
      </c>
      <c r="L39" s="1044">
        <f>L38*'Rates - Single'!$C$212</f>
        <v>8870</v>
      </c>
      <c r="M39" s="1044">
        <f>M38*'Rates - Single'!$C$212</f>
        <v>6130</v>
      </c>
      <c r="N39" s="1017">
        <v>500</v>
      </c>
      <c r="O39" s="734">
        <f>'Rail Relocation'!$R$5*VLOOKUP(D39,'Rail Relocation'!$M$5:$N$29,2)/'Rail Relocation'!$Q$5</f>
        <v>7.3216190476190473E-3</v>
      </c>
      <c r="P39" s="734">
        <f>'Rail Relocation'!$R$5*VLOOKUP(E39,'Rail Relocation'!$M$5:$N$29,2)/'Rail Relocation'!$Q$5</f>
        <v>6.5911428571428579E-3</v>
      </c>
      <c r="Q39" s="734">
        <f>'Rail Relocation'!$R$5*VLOOKUP(F39,'Rail Relocation'!$M$5:$N$29,2)/'Rail Relocation'!$Q$5</f>
        <v>7.9172380952380952E-3</v>
      </c>
      <c r="R39" s="734">
        <f>'Rail Relocation'!$R$5*VLOOKUP(G39,'Rail Relocation'!$M$5:$N$29,2)/'Rail Relocation'!$Q$5</f>
        <v>7.3216190476190473E-3</v>
      </c>
      <c r="S39" s="734">
        <f>'Rail Relocation'!$R$5*VLOOKUP(H39,'Rail Relocation'!$M$5:$N$29,2)/'Rail Relocation'!$Q$5</f>
        <v>8.7713333333333341E-3</v>
      </c>
      <c r="T39" s="734">
        <f>'Rail Relocation'!$R$5*VLOOKUP(I39,'Rail Relocation'!$M$5:$N$29,2)/'Rail Relocation'!$Q$5</f>
        <v>5.8999999999999999E-3</v>
      </c>
      <c r="U39" s="734">
        <f>'Rail Relocation'!$R$5*VLOOKUP(J39,'Rail Relocation'!$M$5:$N$29,2)/'Rail Relocation'!$Q$5</f>
        <v>1.2089380952380954E-2</v>
      </c>
      <c r="V39" s="734">
        <f>'Rail Relocation'!$R$5*VLOOKUP(K39,'Rail Relocation'!$M$5:$N$29,2)/'Rail Relocation'!$Q$5</f>
        <v>5.8999999999999999E-3</v>
      </c>
      <c r="W39" s="734">
        <f>'Rail Relocation'!$R$5*VLOOKUP(L39,'Rail Relocation'!$M$5:$N$29,2)/'Rail Relocation'!$Q$5</f>
        <v>7.3216190476190473E-3</v>
      </c>
      <c r="X39" s="734">
        <f>'Rail Relocation'!$R$5*VLOOKUP(M39,'Rail Relocation'!$M$5:$N$29,2)/'Rail Relocation'!$Q$5</f>
        <v>6.5911428571428579E-3</v>
      </c>
      <c r="Y39" s="734">
        <f>'Rail Relocation'!$R$5*VLOOKUP(N39,'Rail Relocation'!$M$5:$N$29,2)/'Rail Relocation'!$Q$5</f>
        <v>3.1129523809523807E-3</v>
      </c>
      <c r="Z39" s="734">
        <f>1/(1+'Rail Relocation'!$E$4*'Rail Relocation'!$E$5*'Rail Relocation'!$E$6*'Rail Relocation'!$E$7*'Rail Relocation'!$E$8)</f>
        <v>1.5575965260442358E-2</v>
      </c>
      <c r="AA39" s="734">
        <f>(1-Z39)/(1+'Rail Relocation'!$J$4*'Rail Relocation'!$J$5*'Rail Relocation'!$J$6*'Rail Relocation'!$J$7)</f>
        <v>0.22394818472438099</v>
      </c>
      <c r="AB39" s="734">
        <f t="shared" si="0"/>
        <v>0.7604758500151767</v>
      </c>
      <c r="AC39" s="960">
        <f t="shared" si="1"/>
        <v>1403.5203256113712</v>
      </c>
      <c r="AD39" s="960">
        <f t="shared" si="2"/>
        <v>1263.4914366401679</v>
      </c>
      <c r="AE39" s="960">
        <f t="shared" si="3"/>
        <v>1517.6977273878911</v>
      </c>
      <c r="AF39" s="960">
        <f t="shared" si="4"/>
        <v>1403.5203256113712</v>
      </c>
      <c r="AG39" s="960">
        <f t="shared" si="5"/>
        <v>1681.4238129542216</v>
      </c>
      <c r="AH39" s="960">
        <f t="shared" si="6"/>
        <v>1131.0025647674136</v>
      </c>
      <c r="AI39" s="960">
        <f t="shared" si="7"/>
        <v>2317.4781124734195</v>
      </c>
      <c r="AJ39" s="960">
        <f t="shared" si="8"/>
        <v>1131.0025647674136</v>
      </c>
      <c r="AK39" s="960">
        <f t="shared" si="9"/>
        <v>1403.5203256113712</v>
      </c>
      <c r="AL39" s="960">
        <f t="shared" si="10"/>
        <v>1263.4914366401679</v>
      </c>
      <c r="AM39" s="960">
        <f t="shared" si="11"/>
        <v>596.738496077283</v>
      </c>
      <c r="AN39" s="960">
        <f t="shared" si="12"/>
        <v>15112.887128542092</v>
      </c>
    </row>
    <row r="40" spans="2:40" ht="15" x14ac:dyDescent="0.25">
      <c r="B40" s="1016">
        <v>22</v>
      </c>
      <c r="C40" s="1017">
        <v>2041</v>
      </c>
      <c r="D40" s="1044">
        <f>D39*'Rates - Single'!$C$212</f>
        <v>8790</v>
      </c>
      <c r="E40" s="1044">
        <f>E39*'Rates - Single'!$C$212</f>
        <v>7940</v>
      </c>
      <c r="F40" s="1044">
        <f>F39*'Rates - Single'!$C$212</f>
        <v>12040</v>
      </c>
      <c r="G40" s="1044">
        <f>G39*'Rates - Single'!$C$212</f>
        <v>8260</v>
      </c>
      <c r="H40" s="1044">
        <f>H39*'Rates - Single'!$C$212</f>
        <v>17780</v>
      </c>
      <c r="I40" s="1044">
        <f>I39*'Rates - Single'!$C$212</f>
        <v>4720</v>
      </c>
      <c r="J40" s="1044">
        <f>J39*'Rates - Single'!$C$212</f>
        <v>41820</v>
      </c>
      <c r="K40" s="1044">
        <f>K39*'Rates - Single'!$C$212</f>
        <v>4040</v>
      </c>
      <c r="L40" s="1044">
        <f>L39*'Rates - Single'!$C$212</f>
        <v>8870</v>
      </c>
      <c r="M40" s="1044">
        <f>M39*'Rates - Single'!$C$212</f>
        <v>6130</v>
      </c>
      <c r="N40" s="1017">
        <v>500</v>
      </c>
      <c r="O40" s="734">
        <f>'Rail Relocation'!$R$5*VLOOKUP(D40,'Rail Relocation'!$M$5:$N$29,2)/'Rail Relocation'!$Q$5</f>
        <v>7.3216190476190473E-3</v>
      </c>
      <c r="P40" s="734">
        <f>'Rail Relocation'!$R$5*VLOOKUP(E40,'Rail Relocation'!$M$5:$N$29,2)/'Rail Relocation'!$Q$5</f>
        <v>6.5911428571428579E-3</v>
      </c>
      <c r="Q40" s="734">
        <f>'Rail Relocation'!$R$5*VLOOKUP(F40,'Rail Relocation'!$M$5:$N$29,2)/'Rail Relocation'!$Q$5</f>
        <v>7.9172380952380952E-3</v>
      </c>
      <c r="R40" s="734">
        <f>'Rail Relocation'!$R$5*VLOOKUP(G40,'Rail Relocation'!$M$5:$N$29,2)/'Rail Relocation'!$Q$5</f>
        <v>7.3216190476190473E-3</v>
      </c>
      <c r="S40" s="734">
        <f>'Rail Relocation'!$R$5*VLOOKUP(H40,'Rail Relocation'!$M$5:$N$29,2)/'Rail Relocation'!$Q$5</f>
        <v>8.7713333333333341E-3</v>
      </c>
      <c r="T40" s="734">
        <f>'Rail Relocation'!$R$5*VLOOKUP(I40,'Rail Relocation'!$M$5:$N$29,2)/'Rail Relocation'!$Q$5</f>
        <v>5.8999999999999999E-3</v>
      </c>
      <c r="U40" s="734">
        <f>'Rail Relocation'!$R$5*VLOOKUP(J40,'Rail Relocation'!$M$5:$N$29,2)/'Rail Relocation'!$Q$5</f>
        <v>1.2089380952380954E-2</v>
      </c>
      <c r="V40" s="734">
        <f>'Rail Relocation'!$R$5*VLOOKUP(K40,'Rail Relocation'!$M$5:$N$29,2)/'Rail Relocation'!$Q$5</f>
        <v>5.8999999999999999E-3</v>
      </c>
      <c r="W40" s="734">
        <f>'Rail Relocation'!$R$5*VLOOKUP(L40,'Rail Relocation'!$M$5:$N$29,2)/'Rail Relocation'!$Q$5</f>
        <v>7.3216190476190473E-3</v>
      </c>
      <c r="X40" s="734">
        <f>'Rail Relocation'!$R$5*VLOOKUP(M40,'Rail Relocation'!$M$5:$N$29,2)/'Rail Relocation'!$Q$5</f>
        <v>6.5911428571428579E-3</v>
      </c>
      <c r="Y40" s="734">
        <f>'Rail Relocation'!$R$5*VLOOKUP(N40,'Rail Relocation'!$M$5:$N$29,2)/'Rail Relocation'!$Q$5</f>
        <v>3.1129523809523807E-3</v>
      </c>
      <c r="Z40" s="734">
        <f>1/(1+'Rail Relocation'!$E$4*'Rail Relocation'!$E$5*'Rail Relocation'!$E$6*'Rail Relocation'!$E$7*'Rail Relocation'!$E$8)</f>
        <v>1.5575965260442358E-2</v>
      </c>
      <c r="AA40" s="734">
        <f>(1-Z40)/(1+'Rail Relocation'!$J$4*'Rail Relocation'!$J$5*'Rail Relocation'!$J$6*'Rail Relocation'!$J$7)</f>
        <v>0.22394818472438099</v>
      </c>
      <c r="AB40" s="734">
        <f t="shared" si="0"/>
        <v>0.7604758500151767</v>
      </c>
      <c r="AC40" s="960">
        <f t="shared" si="1"/>
        <v>1403.5203256113712</v>
      </c>
      <c r="AD40" s="960">
        <f t="shared" si="2"/>
        <v>1263.4914366401679</v>
      </c>
      <c r="AE40" s="960">
        <f t="shared" si="3"/>
        <v>1517.6977273878911</v>
      </c>
      <c r="AF40" s="960">
        <f t="shared" si="4"/>
        <v>1403.5203256113712</v>
      </c>
      <c r="AG40" s="960">
        <f t="shared" si="5"/>
        <v>1681.4238129542216</v>
      </c>
      <c r="AH40" s="960">
        <f t="shared" si="6"/>
        <v>1131.0025647674136</v>
      </c>
      <c r="AI40" s="960">
        <f t="shared" si="7"/>
        <v>2317.4781124734195</v>
      </c>
      <c r="AJ40" s="960">
        <f t="shared" si="8"/>
        <v>1131.0025647674136</v>
      </c>
      <c r="AK40" s="960">
        <f t="shared" si="9"/>
        <v>1403.5203256113712</v>
      </c>
      <c r="AL40" s="960">
        <f t="shared" si="10"/>
        <v>1263.4914366401679</v>
      </c>
      <c r="AM40" s="960">
        <f t="shared" si="11"/>
        <v>596.738496077283</v>
      </c>
      <c r="AN40" s="960">
        <f t="shared" si="12"/>
        <v>15112.887128542092</v>
      </c>
    </row>
    <row r="41" spans="2:40" ht="15" x14ac:dyDescent="0.25">
      <c r="B41" s="1016">
        <v>23</v>
      </c>
      <c r="C41" s="1017">
        <v>2042</v>
      </c>
      <c r="D41" s="1044">
        <f>D40*'Rates - Single'!$C$212</f>
        <v>8790</v>
      </c>
      <c r="E41" s="1044">
        <f>E40*'Rates - Single'!$C$212</f>
        <v>7940</v>
      </c>
      <c r="F41" s="1044">
        <f>F40*'Rates - Single'!$C$212</f>
        <v>12040</v>
      </c>
      <c r="G41" s="1044">
        <f>G40*'Rates - Single'!$C$212</f>
        <v>8260</v>
      </c>
      <c r="H41" s="1044">
        <f>H40*'Rates - Single'!$C$212</f>
        <v>17780</v>
      </c>
      <c r="I41" s="1044">
        <f>I40*'Rates - Single'!$C$212</f>
        <v>4720</v>
      </c>
      <c r="J41" s="1044">
        <f>J40*'Rates - Single'!$C$212</f>
        <v>41820</v>
      </c>
      <c r="K41" s="1044">
        <f>K40*'Rates - Single'!$C$212</f>
        <v>4040</v>
      </c>
      <c r="L41" s="1044">
        <f>L40*'Rates - Single'!$C$212</f>
        <v>8870</v>
      </c>
      <c r="M41" s="1044">
        <f>M40*'Rates - Single'!$C$212</f>
        <v>6130</v>
      </c>
      <c r="N41" s="1017">
        <v>500</v>
      </c>
      <c r="O41" s="734">
        <f>'Rail Relocation'!$R$5*VLOOKUP(D41,'Rail Relocation'!$M$5:$N$29,2)/'Rail Relocation'!$Q$5</f>
        <v>7.3216190476190473E-3</v>
      </c>
      <c r="P41" s="734">
        <f>'Rail Relocation'!$R$5*VLOOKUP(E41,'Rail Relocation'!$M$5:$N$29,2)/'Rail Relocation'!$Q$5</f>
        <v>6.5911428571428579E-3</v>
      </c>
      <c r="Q41" s="734">
        <f>'Rail Relocation'!$R$5*VLOOKUP(F41,'Rail Relocation'!$M$5:$N$29,2)/'Rail Relocation'!$Q$5</f>
        <v>7.9172380952380952E-3</v>
      </c>
      <c r="R41" s="734">
        <f>'Rail Relocation'!$R$5*VLOOKUP(G41,'Rail Relocation'!$M$5:$N$29,2)/'Rail Relocation'!$Q$5</f>
        <v>7.3216190476190473E-3</v>
      </c>
      <c r="S41" s="734">
        <f>'Rail Relocation'!$R$5*VLOOKUP(H41,'Rail Relocation'!$M$5:$N$29,2)/'Rail Relocation'!$Q$5</f>
        <v>8.7713333333333341E-3</v>
      </c>
      <c r="T41" s="734">
        <f>'Rail Relocation'!$R$5*VLOOKUP(I41,'Rail Relocation'!$M$5:$N$29,2)/'Rail Relocation'!$Q$5</f>
        <v>5.8999999999999999E-3</v>
      </c>
      <c r="U41" s="734">
        <f>'Rail Relocation'!$R$5*VLOOKUP(J41,'Rail Relocation'!$M$5:$N$29,2)/'Rail Relocation'!$Q$5</f>
        <v>1.2089380952380954E-2</v>
      </c>
      <c r="V41" s="734">
        <f>'Rail Relocation'!$R$5*VLOOKUP(K41,'Rail Relocation'!$M$5:$N$29,2)/'Rail Relocation'!$Q$5</f>
        <v>5.8999999999999999E-3</v>
      </c>
      <c r="W41" s="734">
        <f>'Rail Relocation'!$R$5*VLOOKUP(L41,'Rail Relocation'!$M$5:$N$29,2)/'Rail Relocation'!$Q$5</f>
        <v>7.3216190476190473E-3</v>
      </c>
      <c r="X41" s="734">
        <f>'Rail Relocation'!$R$5*VLOOKUP(M41,'Rail Relocation'!$M$5:$N$29,2)/'Rail Relocation'!$Q$5</f>
        <v>6.5911428571428579E-3</v>
      </c>
      <c r="Y41" s="734">
        <f>'Rail Relocation'!$R$5*VLOOKUP(N41,'Rail Relocation'!$M$5:$N$29,2)/'Rail Relocation'!$Q$5</f>
        <v>3.1129523809523807E-3</v>
      </c>
      <c r="Z41" s="734">
        <f>1/(1+'Rail Relocation'!$E$4*'Rail Relocation'!$E$5*'Rail Relocation'!$E$6*'Rail Relocation'!$E$7*'Rail Relocation'!$E$8)</f>
        <v>1.5575965260442358E-2</v>
      </c>
      <c r="AA41" s="734">
        <f>(1-Z41)/(1+'Rail Relocation'!$J$4*'Rail Relocation'!$J$5*'Rail Relocation'!$J$6*'Rail Relocation'!$J$7)</f>
        <v>0.22394818472438099</v>
      </c>
      <c r="AB41" s="734">
        <f t="shared" si="0"/>
        <v>0.7604758500151767</v>
      </c>
      <c r="AC41" s="960">
        <f t="shared" si="1"/>
        <v>1403.5203256113712</v>
      </c>
      <c r="AD41" s="960">
        <f t="shared" si="2"/>
        <v>1263.4914366401679</v>
      </c>
      <c r="AE41" s="960">
        <f t="shared" si="3"/>
        <v>1517.6977273878911</v>
      </c>
      <c r="AF41" s="960">
        <f t="shared" si="4"/>
        <v>1403.5203256113712</v>
      </c>
      <c r="AG41" s="960">
        <f t="shared" si="5"/>
        <v>1681.4238129542216</v>
      </c>
      <c r="AH41" s="960">
        <f t="shared" si="6"/>
        <v>1131.0025647674136</v>
      </c>
      <c r="AI41" s="960">
        <f t="shared" si="7"/>
        <v>2317.4781124734195</v>
      </c>
      <c r="AJ41" s="960">
        <f t="shared" si="8"/>
        <v>1131.0025647674136</v>
      </c>
      <c r="AK41" s="960">
        <f t="shared" si="9"/>
        <v>1403.5203256113712</v>
      </c>
      <c r="AL41" s="960">
        <f t="shared" si="10"/>
        <v>1263.4914366401679</v>
      </c>
      <c r="AM41" s="960">
        <f t="shared" si="11"/>
        <v>596.738496077283</v>
      </c>
      <c r="AN41" s="960">
        <f t="shared" si="12"/>
        <v>15112.887128542092</v>
      </c>
    </row>
    <row r="42" spans="2:40" ht="15" x14ac:dyDescent="0.25">
      <c r="B42" s="1016">
        <v>24</v>
      </c>
      <c r="C42" s="1017">
        <v>2043</v>
      </c>
      <c r="D42" s="1044">
        <f>D41*'Rates - Single'!$C$212</f>
        <v>8790</v>
      </c>
      <c r="E42" s="1044">
        <f>E41*'Rates - Single'!$C$212</f>
        <v>7940</v>
      </c>
      <c r="F42" s="1044">
        <f>F41*'Rates - Single'!$C$212</f>
        <v>12040</v>
      </c>
      <c r="G42" s="1044">
        <f>G41*'Rates - Single'!$C$212</f>
        <v>8260</v>
      </c>
      <c r="H42" s="1044">
        <f>H41*'Rates - Single'!$C$212</f>
        <v>17780</v>
      </c>
      <c r="I42" s="1044">
        <f>I41*'Rates - Single'!$C$212</f>
        <v>4720</v>
      </c>
      <c r="J42" s="1044">
        <f>J41*'Rates - Single'!$C$212</f>
        <v>41820</v>
      </c>
      <c r="K42" s="1044">
        <f>K41*'Rates - Single'!$C$212</f>
        <v>4040</v>
      </c>
      <c r="L42" s="1044">
        <f>L41*'Rates - Single'!$C$212</f>
        <v>8870</v>
      </c>
      <c r="M42" s="1044">
        <f>M41*'Rates - Single'!$C$212</f>
        <v>6130</v>
      </c>
      <c r="N42" s="1017">
        <v>500</v>
      </c>
      <c r="O42" s="734">
        <f>'Rail Relocation'!$R$5*VLOOKUP(D42,'Rail Relocation'!$M$5:$N$29,2)/'Rail Relocation'!$Q$5</f>
        <v>7.3216190476190473E-3</v>
      </c>
      <c r="P42" s="734">
        <f>'Rail Relocation'!$R$5*VLOOKUP(E42,'Rail Relocation'!$M$5:$N$29,2)/'Rail Relocation'!$Q$5</f>
        <v>6.5911428571428579E-3</v>
      </c>
      <c r="Q42" s="734">
        <f>'Rail Relocation'!$R$5*VLOOKUP(F42,'Rail Relocation'!$M$5:$N$29,2)/'Rail Relocation'!$Q$5</f>
        <v>7.9172380952380952E-3</v>
      </c>
      <c r="R42" s="734">
        <f>'Rail Relocation'!$R$5*VLOOKUP(G42,'Rail Relocation'!$M$5:$N$29,2)/'Rail Relocation'!$Q$5</f>
        <v>7.3216190476190473E-3</v>
      </c>
      <c r="S42" s="734">
        <f>'Rail Relocation'!$R$5*VLOOKUP(H42,'Rail Relocation'!$M$5:$N$29,2)/'Rail Relocation'!$Q$5</f>
        <v>8.7713333333333341E-3</v>
      </c>
      <c r="T42" s="734">
        <f>'Rail Relocation'!$R$5*VLOOKUP(I42,'Rail Relocation'!$M$5:$N$29,2)/'Rail Relocation'!$Q$5</f>
        <v>5.8999999999999999E-3</v>
      </c>
      <c r="U42" s="734">
        <f>'Rail Relocation'!$R$5*VLOOKUP(J42,'Rail Relocation'!$M$5:$N$29,2)/'Rail Relocation'!$Q$5</f>
        <v>1.2089380952380954E-2</v>
      </c>
      <c r="V42" s="734">
        <f>'Rail Relocation'!$R$5*VLOOKUP(K42,'Rail Relocation'!$M$5:$N$29,2)/'Rail Relocation'!$Q$5</f>
        <v>5.8999999999999999E-3</v>
      </c>
      <c r="W42" s="734">
        <f>'Rail Relocation'!$R$5*VLOOKUP(L42,'Rail Relocation'!$M$5:$N$29,2)/'Rail Relocation'!$Q$5</f>
        <v>7.3216190476190473E-3</v>
      </c>
      <c r="X42" s="734">
        <f>'Rail Relocation'!$R$5*VLOOKUP(M42,'Rail Relocation'!$M$5:$N$29,2)/'Rail Relocation'!$Q$5</f>
        <v>6.5911428571428579E-3</v>
      </c>
      <c r="Y42" s="734">
        <f>'Rail Relocation'!$R$5*VLOOKUP(N42,'Rail Relocation'!$M$5:$N$29,2)/'Rail Relocation'!$Q$5</f>
        <v>3.1129523809523807E-3</v>
      </c>
      <c r="Z42" s="734">
        <f>1/(1+'Rail Relocation'!$E$4*'Rail Relocation'!$E$5*'Rail Relocation'!$E$6*'Rail Relocation'!$E$7*'Rail Relocation'!$E$8)</f>
        <v>1.5575965260442358E-2</v>
      </c>
      <c r="AA42" s="734">
        <f>(1-Z42)/(1+'Rail Relocation'!$J$4*'Rail Relocation'!$J$5*'Rail Relocation'!$J$6*'Rail Relocation'!$J$7)</f>
        <v>0.22394818472438099</v>
      </c>
      <c r="AB42" s="734">
        <f t="shared" si="0"/>
        <v>0.7604758500151767</v>
      </c>
      <c r="AC42" s="960">
        <f t="shared" si="1"/>
        <v>1403.5203256113712</v>
      </c>
      <c r="AD42" s="960">
        <f t="shared" si="2"/>
        <v>1263.4914366401679</v>
      </c>
      <c r="AE42" s="960">
        <f t="shared" si="3"/>
        <v>1517.6977273878911</v>
      </c>
      <c r="AF42" s="960">
        <f t="shared" si="4"/>
        <v>1403.5203256113712</v>
      </c>
      <c r="AG42" s="960">
        <f t="shared" si="5"/>
        <v>1681.4238129542216</v>
      </c>
      <c r="AH42" s="960">
        <f t="shared" si="6"/>
        <v>1131.0025647674136</v>
      </c>
      <c r="AI42" s="960">
        <f t="shared" si="7"/>
        <v>2317.4781124734195</v>
      </c>
      <c r="AJ42" s="960">
        <f t="shared" si="8"/>
        <v>1131.0025647674136</v>
      </c>
      <c r="AK42" s="960">
        <f t="shared" si="9"/>
        <v>1403.5203256113712</v>
      </c>
      <c r="AL42" s="960">
        <f t="shared" si="10"/>
        <v>1263.4914366401679</v>
      </c>
      <c r="AM42" s="960">
        <f t="shared" si="11"/>
        <v>596.738496077283</v>
      </c>
      <c r="AN42" s="960">
        <f t="shared" si="12"/>
        <v>15112.887128542092</v>
      </c>
    </row>
    <row r="43" spans="2:40" ht="15" x14ac:dyDescent="0.25">
      <c r="B43" s="1016">
        <v>25</v>
      </c>
      <c r="C43" s="1017">
        <v>2044</v>
      </c>
      <c r="D43" s="1044">
        <f>D42*'Rates - Single'!$C$212</f>
        <v>8790</v>
      </c>
      <c r="E43" s="1044">
        <f>E42*'Rates - Single'!$C$212</f>
        <v>7940</v>
      </c>
      <c r="F43" s="1044">
        <f>F42*'Rates - Single'!$C$212</f>
        <v>12040</v>
      </c>
      <c r="G43" s="1044">
        <f>G42*'Rates - Single'!$C$212</f>
        <v>8260</v>
      </c>
      <c r="H43" s="1044">
        <f>H42*'Rates - Single'!$C$212</f>
        <v>17780</v>
      </c>
      <c r="I43" s="1044">
        <f>I42*'Rates - Single'!$C$212</f>
        <v>4720</v>
      </c>
      <c r="J43" s="1044">
        <f>J42*'Rates - Single'!$C$212</f>
        <v>41820</v>
      </c>
      <c r="K43" s="1044">
        <f>K42*'Rates - Single'!$C$212</f>
        <v>4040</v>
      </c>
      <c r="L43" s="1044">
        <f>L42*'Rates - Single'!$C$212</f>
        <v>8870</v>
      </c>
      <c r="M43" s="1044">
        <f>M42*'Rates - Single'!$C$212</f>
        <v>6130</v>
      </c>
      <c r="N43" s="1017">
        <v>500</v>
      </c>
      <c r="O43" s="734">
        <f>'Rail Relocation'!$R$5*VLOOKUP(D43,'Rail Relocation'!$M$5:$N$29,2)/'Rail Relocation'!$Q$5</f>
        <v>7.3216190476190473E-3</v>
      </c>
      <c r="P43" s="734">
        <f>'Rail Relocation'!$R$5*VLOOKUP(E43,'Rail Relocation'!$M$5:$N$29,2)/'Rail Relocation'!$Q$5</f>
        <v>6.5911428571428579E-3</v>
      </c>
      <c r="Q43" s="734">
        <f>'Rail Relocation'!$R$5*VLOOKUP(F43,'Rail Relocation'!$M$5:$N$29,2)/'Rail Relocation'!$Q$5</f>
        <v>7.9172380952380952E-3</v>
      </c>
      <c r="R43" s="734">
        <f>'Rail Relocation'!$R$5*VLOOKUP(G43,'Rail Relocation'!$M$5:$N$29,2)/'Rail Relocation'!$Q$5</f>
        <v>7.3216190476190473E-3</v>
      </c>
      <c r="S43" s="734">
        <f>'Rail Relocation'!$R$5*VLOOKUP(H43,'Rail Relocation'!$M$5:$N$29,2)/'Rail Relocation'!$Q$5</f>
        <v>8.7713333333333341E-3</v>
      </c>
      <c r="T43" s="734">
        <f>'Rail Relocation'!$R$5*VLOOKUP(I43,'Rail Relocation'!$M$5:$N$29,2)/'Rail Relocation'!$Q$5</f>
        <v>5.8999999999999999E-3</v>
      </c>
      <c r="U43" s="734">
        <f>'Rail Relocation'!$R$5*VLOOKUP(J43,'Rail Relocation'!$M$5:$N$29,2)/'Rail Relocation'!$Q$5</f>
        <v>1.2089380952380954E-2</v>
      </c>
      <c r="V43" s="734">
        <f>'Rail Relocation'!$R$5*VLOOKUP(K43,'Rail Relocation'!$M$5:$N$29,2)/'Rail Relocation'!$Q$5</f>
        <v>5.8999999999999999E-3</v>
      </c>
      <c r="W43" s="734">
        <f>'Rail Relocation'!$R$5*VLOOKUP(L43,'Rail Relocation'!$M$5:$N$29,2)/'Rail Relocation'!$Q$5</f>
        <v>7.3216190476190473E-3</v>
      </c>
      <c r="X43" s="734">
        <f>'Rail Relocation'!$R$5*VLOOKUP(M43,'Rail Relocation'!$M$5:$N$29,2)/'Rail Relocation'!$Q$5</f>
        <v>6.5911428571428579E-3</v>
      </c>
      <c r="Y43" s="734">
        <f>'Rail Relocation'!$R$5*VLOOKUP(N43,'Rail Relocation'!$M$5:$N$29,2)/'Rail Relocation'!$Q$5</f>
        <v>3.1129523809523807E-3</v>
      </c>
      <c r="Z43" s="734">
        <f>1/(1+'Rail Relocation'!$E$4*'Rail Relocation'!$E$5*'Rail Relocation'!$E$6*'Rail Relocation'!$E$7*'Rail Relocation'!$E$8)</f>
        <v>1.5575965260442358E-2</v>
      </c>
      <c r="AA43" s="734">
        <f>(1-Z43)/(1+'Rail Relocation'!$J$4*'Rail Relocation'!$J$5*'Rail Relocation'!$J$6*'Rail Relocation'!$J$7)</f>
        <v>0.22394818472438099</v>
      </c>
      <c r="AB43" s="734">
        <f t="shared" si="0"/>
        <v>0.7604758500151767</v>
      </c>
      <c r="AC43" s="960">
        <f t="shared" si="1"/>
        <v>1403.5203256113712</v>
      </c>
      <c r="AD43" s="960">
        <f t="shared" si="2"/>
        <v>1263.4914366401679</v>
      </c>
      <c r="AE43" s="960">
        <f t="shared" si="3"/>
        <v>1517.6977273878911</v>
      </c>
      <c r="AF43" s="960">
        <f t="shared" si="4"/>
        <v>1403.5203256113712</v>
      </c>
      <c r="AG43" s="960">
        <f t="shared" si="5"/>
        <v>1681.4238129542216</v>
      </c>
      <c r="AH43" s="960">
        <f t="shared" si="6"/>
        <v>1131.0025647674136</v>
      </c>
      <c r="AI43" s="960">
        <f t="shared" si="7"/>
        <v>2317.4781124734195</v>
      </c>
      <c r="AJ43" s="960">
        <f t="shared" si="8"/>
        <v>1131.0025647674136</v>
      </c>
      <c r="AK43" s="960">
        <f t="shared" si="9"/>
        <v>1403.5203256113712</v>
      </c>
      <c r="AL43" s="960">
        <f t="shared" si="10"/>
        <v>1263.4914366401679</v>
      </c>
      <c r="AM43" s="960">
        <f t="shared" si="11"/>
        <v>596.738496077283</v>
      </c>
      <c r="AN43" s="960">
        <f t="shared" si="12"/>
        <v>15112.887128542092</v>
      </c>
    </row>
    <row r="44" spans="2:40" ht="15" x14ac:dyDescent="0.25">
      <c r="B44" s="1016">
        <v>26</v>
      </c>
      <c r="C44" s="1017">
        <v>2045</v>
      </c>
      <c r="D44" s="1044">
        <f>D43*'Rates - Single'!$C$212</f>
        <v>8790</v>
      </c>
      <c r="E44" s="1044">
        <f>E43*'Rates - Single'!$C$212</f>
        <v>7940</v>
      </c>
      <c r="F44" s="1044">
        <f>F43*'Rates - Single'!$C$212</f>
        <v>12040</v>
      </c>
      <c r="G44" s="1044">
        <f>G43*'Rates - Single'!$C$212</f>
        <v>8260</v>
      </c>
      <c r="H44" s="1044">
        <f>H43*'Rates - Single'!$C$212</f>
        <v>17780</v>
      </c>
      <c r="I44" s="1044">
        <f>I43*'Rates - Single'!$C$212</f>
        <v>4720</v>
      </c>
      <c r="J44" s="1044">
        <f>J43*'Rates - Single'!$C$212</f>
        <v>41820</v>
      </c>
      <c r="K44" s="1044">
        <f>K43*'Rates - Single'!$C$212</f>
        <v>4040</v>
      </c>
      <c r="L44" s="1044">
        <f>L43*'Rates - Single'!$C$212</f>
        <v>8870</v>
      </c>
      <c r="M44" s="1044">
        <f>M43*'Rates - Single'!$C$212</f>
        <v>6130</v>
      </c>
      <c r="N44" s="1017">
        <v>500</v>
      </c>
      <c r="O44" s="734">
        <f>'Rail Relocation'!$R$5*VLOOKUP(D44,'Rail Relocation'!$M$5:$N$29,2)/'Rail Relocation'!$Q$5</f>
        <v>7.3216190476190473E-3</v>
      </c>
      <c r="P44" s="734">
        <f>'Rail Relocation'!$R$5*VLOOKUP(E44,'Rail Relocation'!$M$5:$N$29,2)/'Rail Relocation'!$Q$5</f>
        <v>6.5911428571428579E-3</v>
      </c>
      <c r="Q44" s="734">
        <f>'Rail Relocation'!$R$5*VLOOKUP(F44,'Rail Relocation'!$M$5:$N$29,2)/'Rail Relocation'!$Q$5</f>
        <v>7.9172380952380952E-3</v>
      </c>
      <c r="R44" s="734">
        <f>'Rail Relocation'!$R$5*VLOOKUP(G44,'Rail Relocation'!$M$5:$N$29,2)/'Rail Relocation'!$Q$5</f>
        <v>7.3216190476190473E-3</v>
      </c>
      <c r="S44" s="734">
        <f>'Rail Relocation'!$R$5*VLOOKUP(H44,'Rail Relocation'!$M$5:$N$29,2)/'Rail Relocation'!$Q$5</f>
        <v>8.7713333333333341E-3</v>
      </c>
      <c r="T44" s="734">
        <f>'Rail Relocation'!$R$5*VLOOKUP(I44,'Rail Relocation'!$M$5:$N$29,2)/'Rail Relocation'!$Q$5</f>
        <v>5.8999999999999999E-3</v>
      </c>
      <c r="U44" s="734">
        <f>'Rail Relocation'!$R$5*VLOOKUP(J44,'Rail Relocation'!$M$5:$N$29,2)/'Rail Relocation'!$Q$5</f>
        <v>1.2089380952380954E-2</v>
      </c>
      <c r="V44" s="734">
        <f>'Rail Relocation'!$R$5*VLOOKUP(K44,'Rail Relocation'!$M$5:$N$29,2)/'Rail Relocation'!$Q$5</f>
        <v>5.8999999999999999E-3</v>
      </c>
      <c r="W44" s="734">
        <f>'Rail Relocation'!$R$5*VLOOKUP(L44,'Rail Relocation'!$M$5:$N$29,2)/'Rail Relocation'!$Q$5</f>
        <v>7.3216190476190473E-3</v>
      </c>
      <c r="X44" s="734">
        <f>'Rail Relocation'!$R$5*VLOOKUP(M44,'Rail Relocation'!$M$5:$N$29,2)/'Rail Relocation'!$Q$5</f>
        <v>6.5911428571428579E-3</v>
      </c>
      <c r="Y44" s="734">
        <f>'Rail Relocation'!$R$5*VLOOKUP(N44,'Rail Relocation'!$M$5:$N$29,2)/'Rail Relocation'!$Q$5</f>
        <v>3.1129523809523807E-3</v>
      </c>
      <c r="Z44" s="734">
        <f>1/(1+'Rail Relocation'!$E$4*'Rail Relocation'!$E$5*'Rail Relocation'!$E$6*'Rail Relocation'!$E$7*'Rail Relocation'!$E$8)</f>
        <v>1.5575965260442358E-2</v>
      </c>
      <c r="AA44" s="734">
        <f>(1-Z44)/(1+'Rail Relocation'!$J$4*'Rail Relocation'!$J$5*'Rail Relocation'!$J$6*'Rail Relocation'!$J$7)</f>
        <v>0.22394818472438099</v>
      </c>
      <c r="AB44" s="734">
        <f t="shared" si="0"/>
        <v>0.7604758500151767</v>
      </c>
      <c r="AC44" s="960">
        <f t="shared" si="1"/>
        <v>1403.5203256113712</v>
      </c>
      <c r="AD44" s="960">
        <f t="shared" si="2"/>
        <v>1263.4914366401679</v>
      </c>
      <c r="AE44" s="960">
        <f t="shared" si="3"/>
        <v>1517.6977273878911</v>
      </c>
      <c r="AF44" s="960">
        <f t="shared" si="4"/>
        <v>1403.5203256113712</v>
      </c>
      <c r="AG44" s="960">
        <f t="shared" si="5"/>
        <v>1681.4238129542216</v>
      </c>
      <c r="AH44" s="960">
        <f t="shared" si="6"/>
        <v>1131.0025647674136</v>
      </c>
      <c r="AI44" s="960">
        <f t="shared" si="7"/>
        <v>2317.4781124734195</v>
      </c>
      <c r="AJ44" s="960">
        <f t="shared" si="8"/>
        <v>1131.0025647674136</v>
      </c>
      <c r="AK44" s="960">
        <f t="shared" si="9"/>
        <v>1403.5203256113712</v>
      </c>
      <c r="AL44" s="960">
        <f t="shared" si="10"/>
        <v>1263.4914366401679</v>
      </c>
      <c r="AM44" s="960">
        <f t="shared" si="11"/>
        <v>596.738496077283</v>
      </c>
      <c r="AN44" s="960">
        <f t="shared" si="12"/>
        <v>15112.887128542092</v>
      </c>
    </row>
    <row r="45" spans="2:40" ht="15" x14ac:dyDescent="0.25">
      <c r="B45" s="1016">
        <v>27</v>
      </c>
      <c r="C45" s="1017">
        <v>2046</v>
      </c>
      <c r="D45" s="1044">
        <f>D44*'Rates - Single'!$C$212</f>
        <v>8790</v>
      </c>
      <c r="E45" s="1044">
        <f>E44*'Rates - Single'!$C$212</f>
        <v>7940</v>
      </c>
      <c r="F45" s="1044">
        <f>F44*'Rates - Single'!$C$212</f>
        <v>12040</v>
      </c>
      <c r="G45" s="1044">
        <f>G44*'Rates - Single'!$C$212</f>
        <v>8260</v>
      </c>
      <c r="H45" s="1044">
        <f>H44*'Rates - Single'!$C$212</f>
        <v>17780</v>
      </c>
      <c r="I45" s="1044">
        <f>I44*'Rates - Single'!$C$212</f>
        <v>4720</v>
      </c>
      <c r="J45" s="1044">
        <f>J44*'Rates - Single'!$C$212</f>
        <v>41820</v>
      </c>
      <c r="K45" s="1044">
        <f>K44*'Rates - Single'!$C$212</f>
        <v>4040</v>
      </c>
      <c r="L45" s="1044">
        <f>L44*'Rates - Single'!$C$212</f>
        <v>8870</v>
      </c>
      <c r="M45" s="1044">
        <f>M44*'Rates - Single'!$C$212</f>
        <v>6130</v>
      </c>
      <c r="N45" s="1017">
        <v>500</v>
      </c>
      <c r="O45" s="734">
        <f>'Rail Relocation'!$R$5*VLOOKUP(D45,'Rail Relocation'!$M$5:$N$29,2)/'Rail Relocation'!$Q$5</f>
        <v>7.3216190476190473E-3</v>
      </c>
      <c r="P45" s="734">
        <f>'Rail Relocation'!$R$5*VLOOKUP(E45,'Rail Relocation'!$M$5:$N$29,2)/'Rail Relocation'!$Q$5</f>
        <v>6.5911428571428579E-3</v>
      </c>
      <c r="Q45" s="734">
        <f>'Rail Relocation'!$R$5*VLOOKUP(F45,'Rail Relocation'!$M$5:$N$29,2)/'Rail Relocation'!$Q$5</f>
        <v>7.9172380952380952E-3</v>
      </c>
      <c r="R45" s="734">
        <f>'Rail Relocation'!$R$5*VLOOKUP(G45,'Rail Relocation'!$M$5:$N$29,2)/'Rail Relocation'!$Q$5</f>
        <v>7.3216190476190473E-3</v>
      </c>
      <c r="S45" s="734">
        <f>'Rail Relocation'!$R$5*VLOOKUP(H45,'Rail Relocation'!$M$5:$N$29,2)/'Rail Relocation'!$Q$5</f>
        <v>8.7713333333333341E-3</v>
      </c>
      <c r="T45" s="734">
        <f>'Rail Relocation'!$R$5*VLOOKUP(I45,'Rail Relocation'!$M$5:$N$29,2)/'Rail Relocation'!$Q$5</f>
        <v>5.8999999999999999E-3</v>
      </c>
      <c r="U45" s="734">
        <f>'Rail Relocation'!$R$5*VLOOKUP(J45,'Rail Relocation'!$M$5:$N$29,2)/'Rail Relocation'!$Q$5</f>
        <v>1.2089380952380954E-2</v>
      </c>
      <c r="V45" s="734">
        <f>'Rail Relocation'!$R$5*VLOOKUP(K45,'Rail Relocation'!$M$5:$N$29,2)/'Rail Relocation'!$Q$5</f>
        <v>5.8999999999999999E-3</v>
      </c>
      <c r="W45" s="734">
        <f>'Rail Relocation'!$R$5*VLOOKUP(L45,'Rail Relocation'!$M$5:$N$29,2)/'Rail Relocation'!$Q$5</f>
        <v>7.3216190476190473E-3</v>
      </c>
      <c r="X45" s="734">
        <f>'Rail Relocation'!$R$5*VLOOKUP(M45,'Rail Relocation'!$M$5:$N$29,2)/'Rail Relocation'!$Q$5</f>
        <v>6.5911428571428579E-3</v>
      </c>
      <c r="Y45" s="734">
        <f>'Rail Relocation'!$R$5*VLOOKUP(N45,'Rail Relocation'!$M$5:$N$29,2)/'Rail Relocation'!$Q$5</f>
        <v>3.1129523809523807E-3</v>
      </c>
      <c r="Z45" s="734">
        <f>1/(1+'Rail Relocation'!$E$4*'Rail Relocation'!$E$5*'Rail Relocation'!$E$6*'Rail Relocation'!$E$7*'Rail Relocation'!$E$8)</f>
        <v>1.5575965260442358E-2</v>
      </c>
      <c r="AA45" s="734">
        <f>(1-Z45)/(1+'Rail Relocation'!$J$4*'Rail Relocation'!$J$5*'Rail Relocation'!$J$6*'Rail Relocation'!$J$7)</f>
        <v>0.22394818472438099</v>
      </c>
      <c r="AB45" s="734">
        <f t="shared" si="0"/>
        <v>0.7604758500151767</v>
      </c>
      <c r="AC45" s="960">
        <f t="shared" si="1"/>
        <v>1403.5203256113712</v>
      </c>
      <c r="AD45" s="960">
        <f t="shared" si="2"/>
        <v>1263.4914366401679</v>
      </c>
      <c r="AE45" s="960">
        <f t="shared" si="3"/>
        <v>1517.6977273878911</v>
      </c>
      <c r="AF45" s="960">
        <f t="shared" si="4"/>
        <v>1403.5203256113712</v>
      </c>
      <c r="AG45" s="960">
        <f t="shared" si="5"/>
        <v>1681.4238129542216</v>
      </c>
      <c r="AH45" s="960">
        <f t="shared" si="6"/>
        <v>1131.0025647674136</v>
      </c>
      <c r="AI45" s="960">
        <f t="shared" si="7"/>
        <v>2317.4781124734195</v>
      </c>
      <c r="AJ45" s="960">
        <f t="shared" si="8"/>
        <v>1131.0025647674136</v>
      </c>
      <c r="AK45" s="960">
        <f t="shared" si="9"/>
        <v>1403.5203256113712</v>
      </c>
      <c r="AL45" s="960">
        <f t="shared" si="10"/>
        <v>1263.4914366401679</v>
      </c>
      <c r="AM45" s="960">
        <f t="shared" si="11"/>
        <v>596.738496077283</v>
      </c>
      <c r="AN45" s="960">
        <f t="shared" si="12"/>
        <v>15112.887128542092</v>
      </c>
    </row>
    <row r="46" spans="2:40" ht="15" x14ac:dyDescent="0.25">
      <c r="B46" s="1016">
        <v>28</v>
      </c>
      <c r="C46" s="1017">
        <v>2047</v>
      </c>
      <c r="D46" s="1044">
        <f>D45*'Rates - Single'!$C$212</f>
        <v>8790</v>
      </c>
      <c r="E46" s="1044">
        <f>E45*'Rates - Single'!$C$212</f>
        <v>7940</v>
      </c>
      <c r="F46" s="1044">
        <f>F45*'Rates - Single'!$C$212</f>
        <v>12040</v>
      </c>
      <c r="G46" s="1044">
        <f>G45*'Rates - Single'!$C$212</f>
        <v>8260</v>
      </c>
      <c r="H46" s="1044">
        <f>H45*'Rates - Single'!$C$212</f>
        <v>17780</v>
      </c>
      <c r="I46" s="1044">
        <f>I45*'Rates - Single'!$C$212</f>
        <v>4720</v>
      </c>
      <c r="J46" s="1044">
        <f>J45*'Rates - Single'!$C$212</f>
        <v>41820</v>
      </c>
      <c r="K46" s="1044">
        <f>K45*'Rates - Single'!$C$212</f>
        <v>4040</v>
      </c>
      <c r="L46" s="1044">
        <f>L45*'Rates - Single'!$C$212</f>
        <v>8870</v>
      </c>
      <c r="M46" s="1044">
        <f>M45*'Rates - Single'!$C$212</f>
        <v>6130</v>
      </c>
      <c r="N46" s="1017">
        <v>500</v>
      </c>
      <c r="O46" s="734">
        <f>'Rail Relocation'!$R$5*VLOOKUP(D46,'Rail Relocation'!$M$5:$N$29,2)/'Rail Relocation'!$Q$5</f>
        <v>7.3216190476190473E-3</v>
      </c>
      <c r="P46" s="734">
        <f>'Rail Relocation'!$R$5*VLOOKUP(E46,'Rail Relocation'!$M$5:$N$29,2)/'Rail Relocation'!$Q$5</f>
        <v>6.5911428571428579E-3</v>
      </c>
      <c r="Q46" s="734">
        <f>'Rail Relocation'!$R$5*VLOOKUP(F46,'Rail Relocation'!$M$5:$N$29,2)/'Rail Relocation'!$Q$5</f>
        <v>7.9172380952380952E-3</v>
      </c>
      <c r="R46" s="734">
        <f>'Rail Relocation'!$R$5*VLOOKUP(G46,'Rail Relocation'!$M$5:$N$29,2)/'Rail Relocation'!$Q$5</f>
        <v>7.3216190476190473E-3</v>
      </c>
      <c r="S46" s="734">
        <f>'Rail Relocation'!$R$5*VLOOKUP(H46,'Rail Relocation'!$M$5:$N$29,2)/'Rail Relocation'!$Q$5</f>
        <v>8.7713333333333341E-3</v>
      </c>
      <c r="T46" s="734">
        <f>'Rail Relocation'!$R$5*VLOOKUP(I46,'Rail Relocation'!$M$5:$N$29,2)/'Rail Relocation'!$Q$5</f>
        <v>5.8999999999999999E-3</v>
      </c>
      <c r="U46" s="734">
        <f>'Rail Relocation'!$R$5*VLOOKUP(J46,'Rail Relocation'!$M$5:$N$29,2)/'Rail Relocation'!$Q$5</f>
        <v>1.2089380952380954E-2</v>
      </c>
      <c r="V46" s="734">
        <f>'Rail Relocation'!$R$5*VLOOKUP(K46,'Rail Relocation'!$M$5:$N$29,2)/'Rail Relocation'!$Q$5</f>
        <v>5.8999999999999999E-3</v>
      </c>
      <c r="W46" s="734">
        <f>'Rail Relocation'!$R$5*VLOOKUP(L46,'Rail Relocation'!$M$5:$N$29,2)/'Rail Relocation'!$Q$5</f>
        <v>7.3216190476190473E-3</v>
      </c>
      <c r="X46" s="734">
        <f>'Rail Relocation'!$R$5*VLOOKUP(M46,'Rail Relocation'!$M$5:$N$29,2)/'Rail Relocation'!$Q$5</f>
        <v>6.5911428571428579E-3</v>
      </c>
      <c r="Y46" s="734">
        <f>'Rail Relocation'!$R$5*VLOOKUP(N46,'Rail Relocation'!$M$5:$N$29,2)/'Rail Relocation'!$Q$5</f>
        <v>3.1129523809523807E-3</v>
      </c>
      <c r="Z46" s="734">
        <f>1/(1+'Rail Relocation'!$E$4*'Rail Relocation'!$E$5*'Rail Relocation'!$E$6*'Rail Relocation'!$E$7*'Rail Relocation'!$E$8)</f>
        <v>1.5575965260442358E-2</v>
      </c>
      <c r="AA46" s="734">
        <f>(1-Z46)/(1+'Rail Relocation'!$J$4*'Rail Relocation'!$J$5*'Rail Relocation'!$J$6*'Rail Relocation'!$J$7)</f>
        <v>0.22394818472438099</v>
      </c>
      <c r="AB46" s="734">
        <f t="shared" si="0"/>
        <v>0.7604758500151767</v>
      </c>
      <c r="AC46" s="960">
        <f t="shared" si="1"/>
        <v>1403.5203256113712</v>
      </c>
      <c r="AD46" s="960">
        <f t="shared" si="2"/>
        <v>1263.4914366401679</v>
      </c>
      <c r="AE46" s="960">
        <f t="shared" si="3"/>
        <v>1517.6977273878911</v>
      </c>
      <c r="AF46" s="960">
        <f t="shared" si="4"/>
        <v>1403.5203256113712</v>
      </c>
      <c r="AG46" s="960">
        <f t="shared" si="5"/>
        <v>1681.4238129542216</v>
      </c>
      <c r="AH46" s="960">
        <f t="shared" si="6"/>
        <v>1131.0025647674136</v>
      </c>
      <c r="AI46" s="960">
        <f t="shared" si="7"/>
        <v>2317.4781124734195</v>
      </c>
      <c r="AJ46" s="960">
        <f t="shared" si="8"/>
        <v>1131.0025647674136</v>
      </c>
      <c r="AK46" s="960">
        <f t="shared" si="9"/>
        <v>1403.5203256113712</v>
      </c>
      <c r="AL46" s="960">
        <f t="shared" si="10"/>
        <v>1263.4914366401679</v>
      </c>
      <c r="AM46" s="960">
        <f t="shared" si="11"/>
        <v>596.738496077283</v>
      </c>
      <c r="AN46" s="960">
        <f t="shared" si="12"/>
        <v>15112.887128542092</v>
      </c>
    </row>
    <row r="47" spans="2:40" ht="15" x14ac:dyDescent="0.25">
      <c r="B47" s="1016">
        <v>29</v>
      </c>
      <c r="C47" s="1017">
        <v>2048</v>
      </c>
      <c r="D47" s="1044">
        <f>D46*'Rates - Single'!$C$212</f>
        <v>8790</v>
      </c>
      <c r="E47" s="1044">
        <f>E46*'Rates - Single'!$C$212</f>
        <v>7940</v>
      </c>
      <c r="F47" s="1044">
        <f>F46*'Rates - Single'!$C$212</f>
        <v>12040</v>
      </c>
      <c r="G47" s="1044">
        <f>G46*'Rates - Single'!$C$212</f>
        <v>8260</v>
      </c>
      <c r="H47" s="1044">
        <f>H46*'Rates - Single'!$C$212</f>
        <v>17780</v>
      </c>
      <c r="I47" s="1044">
        <f>I46*'Rates - Single'!$C$212</f>
        <v>4720</v>
      </c>
      <c r="J47" s="1044">
        <f>J46*'Rates - Single'!$C$212</f>
        <v>41820</v>
      </c>
      <c r="K47" s="1044">
        <f>K46*'Rates - Single'!$C$212</f>
        <v>4040</v>
      </c>
      <c r="L47" s="1044">
        <f>L46*'Rates - Single'!$C$212</f>
        <v>8870</v>
      </c>
      <c r="M47" s="1044">
        <f>M46*'Rates - Single'!$C$212</f>
        <v>6130</v>
      </c>
      <c r="N47" s="1017">
        <v>500</v>
      </c>
      <c r="O47" s="734">
        <f>'Rail Relocation'!$R$5*VLOOKUP(D47,'Rail Relocation'!$M$5:$N$29,2)/'Rail Relocation'!$Q$5</f>
        <v>7.3216190476190473E-3</v>
      </c>
      <c r="P47" s="734">
        <f>'Rail Relocation'!$R$5*VLOOKUP(E47,'Rail Relocation'!$M$5:$N$29,2)/'Rail Relocation'!$Q$5</f>
        <v>6.5911428571428579E-3</v>
      </c>
      <c r="Q47" s="734">
        <f>'Rail Relocation'!$R$5*VLOOKUP(F47,'Rail Relocation'!$M$5:$N$29,2)/'Rail Relocation'!$Q$5</f>
        <v>7.9172380952380952E-3</v>
      </c>
      <c r="R47" s="734">
        <f>'Rail Relocation'!$R$5*VLOOKUP(G47,'Rail Relocation'!$M$5:$N$29,2)/'Rail Relocation'!$Q$5</f>
        <v>7.3216190476190473E-3</v>
      </c>
      <c r="S47" s="734">
        <f>'Rail Relocation'!$R$5*VLOOKUP(H47,'Rail Relocation'!$M$5:$N$29,2)/'Rail Relocation'!$Q$5</f>
        <v>8.7713333333333341E-3</v>
      </c>
      <c r="T47" s="734">
        <f>'Rail Relocation'!$R$5*VLOOKUP(I47,'Rail Relocation'!$M$5:$N$29,2)/'Rail Relocation'!$Q$5</f>
        <v>5.8999999999999999E-3</v>
      </c>
      <c r="U47" s="734">
        <f>'Rail Relocation'!$R$5*VLOOKUP(J47,'Rail Relocation'!$M$5:$N$29,2)/'Rail Relocation'!$Q$5</f>
        <v>1.2089380952380954E-2</v>
      </c>
      <c r="V47" s="734">
        <f>'Rail Relocation'!$R$5*VLOOKUP(K47,'Rail Relocation'!$M$5:$N$29,2)/'Rail Relocation'!$Q$5</f>
        <v>5.8999999999999999E-3</v>
      </c>
      <c r="W47" s="734">
        <f>'Rail Relocation'!$R$5*VLOOKUP(L47,'Rail Relocation'!$M$5:$N$29,2)/'Rail Relocation'!$Q$5</f>
        <v>7.3216190476190473E-3</v>
      </c>
      <c r="X47" s="734">
        <f>'Rail Relocation'!$R$5*VLOOKUP(M47,'Rail Relocation'!$M$5:$N$29,2)/'Rail Relocation'!$Q$5</f>
        <v>6.5911428571428579E-3</v>
      </c>
      <c r="Y47" s="734">
        <f>'Rail Relocation'!$R$5*VLOOKUP(N47,'Rail Relocation'!$M$5:$N$29,2)/'Rail Relocation'!$Q$5</f>
        <v>3.1129523809523807E-3</v>
      </c>
      <c r="Z47" s="734">
        <f>1/(1+'Rail Relocation'!$E$4*'Rail Relocation'!$E$5*'Rail Relocation'!$E$6*'Rail Relocation'!$E$7*'Rail Relocation'!$E$8)</f>
        <v>1.5575965260442358E-2</v>
      </c>
      <c r="AA47" s="734">
        <f>(1-Z47)/(1+'Rail Relocation'!$J$4*'Rail Relocation'!$J$5*'Rail Relocation'!$J$6*'Rail Relocation'!$J$7)</f>
        <v>0.22394818472438099</v>
      </c>
      <c r="AB47" s="734">
        <f t="shared" si="0"/>
        <v>0.7604758500151767</v>
      </c>
      <c r="AC47" s="960">
        <f t="shared" si="1"/>
        <v>1403.5203256113712</v>
      </c>
      <c r="AD47" s="960">
        <f t="shared" si="2"/>
        <v>1263.4914366401679</v>
      </c>
      <c r="AE47" s="960">
        <f t="shared" si="3"/>
        <v>1517.6977273878911</v>
      </c>
      <c r="AF47" s="960">
        <f t="shared" si="4"/>
        <v>1403.5203256113712</v>
      </c>
      <c r="AG47" s="960">
        <f t="shared" si="5"/>
        <v>1681.4238129542216</v>
      </c>
      <c r="AH47" s="960">
        <f t="shared" si="6"/>
        <v>1131.0025647674136</v>
      </c>
      <c r="AI47" s="960">
        <f t="shared" si="7"/>
        <v>2317.4781124734195</v>
      </c>
      <c r="AJ47" s="960">
        <f t="shared" si="8"/>
        <v>1131.0025647674136</v>
      </c>
      <c r="AK47" s="960">
        <f t="shared" si="9"/>
        <v>1403.5203256113712</v>
      </c>
      <c r="AL47" s="960">
        <f t="shared" si="10"/>
        <v>1263.4914366401679</v>
      </c>
      <c r="AM47" s="960">
        <f t="shared" si="11"/>
        <v>596.738496077283</v>
      </c>
      <c r="AN47" s="960">
        <f t="shared" si="12"/>
        <v>15112.887128542092</v>
      </c>
    </row>
    <row r="48" spans="2:40" ht="15" x14ac:dyDescent="0.25">
      <c r="B48" s="1016">
        <v>30</v>
      </c>
      <c r="C48" s="1017">
        <v>2049</v>
      </c>
      <c r="D48" s="1044">
        <f>D47*'Rates - Single'!$C$212</f>
        <v>8790</v>
      </c>
      <c r="E48" s="1044">
        <f>E47*'Rates - Single'!$C$212</f>
        <v>7940</v>
      </c>
      <c r="F48" s="1044">
        <f>F47*'Rates - Single'!$C$212</f>
        <v>12040</v>
      </c>
      <c r="G48" s="1044">
        <f>G47*'Rates - Single'!$C$212</f>
        <v>8260</v>
      </c>
      <c r="H48" s="1044">
        <f>H47*'Rates - Single'!$C$212</f>
        <v>17780</v>
      </c>
      <c r="I48" s="1044">
        <f>I47*'Rates - Single'!$C$212</f>
        <v>4720</v>
      </c>
      <c r="J48" s="1044">
        <f>J47*'Rates - Single'!$C$212</f>
        <v>41820</v>
      </c>
      <c r="K48" s="1044">
        <f>K47*'Rates - Single'!$C$212</f>
        <v>4040</v>
      </c>
      <c r="L48" s="1044">
        <f>L47*'Rates - Single'!$C$212</f>
        <v>8870</v>
      </c>
      <c r="M48" s="1044">
        <f>M47*'Rates - Single'!$C$212</f>
        <v>6130</v>
      </c>
      <c r="N48" s="1017">
        <v>500</v>
      </c>
      <c r="O48" s="734">
        <f>'Rail Relocation'!$R$5*VLOOKUP(D48,'Rail Relocation'!$M$5:$N$29,2)/'Rail Relocation'!$Q$5</f>
        <v>7.3216190476190473E-3</v>
      </c>
      <c r="P48" s="734">
        <f>'Rail Relocation'!$R$5*VLOOKUP(E48,'Rail Relocation'!$M$5:$N$29,2)/'Rail Relocation'!$Q$5</f>
        <v>6.5911428571428579E-3</v>
      </c>
      <c r="Q48" s="734">
        <f>'Rail Relocation'!$R$5*VLOOKUP(F48,'Rail Relocation'!$M$5:$N$29,2)/'Rail Relocation'!$Q$5</f>
        <v>7.9172380952380952E-3</v>
      </c>
      <c r="R48" s="734">
        <f>'Rail Relocation'!$R$5*VLOOKUP(G48,'Rail Relocation'!$M$5:$N$29,2)/'Rail Relocation'!$Q$5</f>
        <v>7.3216190476190473E-3</v>
      </c>
      <c r="S48" s="734">
        <f>'Rail Relocation'!$R$5*VLOOKUP(H48,'Rail Relocation'!$M$5:$N$29,2)/'Rail Relocation'!$Q$5</f>
        <v>8.7713333333333341E-3</v>
      </c>
      <c r="T48" s="734">
        <f>'Rail Relocation'!$R$5*VLOOKUP(I48,'Rail Relocation'!$M$5:$N$29,2)/'Rail Relocation'!$Q$5</f>
        <v>5.8999999999999999E-3</v>
      </c>
      <c r="U48" s="734">
        <f>'Rail Relocation'!$R$5*VLOOKUP(J48,'Rail Relocation'!$M$5:$N$29,2)/'Rail Relocation'!$Q$5</f>
        <v>1.2089380952380954E-2</v>
      </c>
      <c r="V48" s="734">
        <f>'Rail Relocation'!$R$5*VLOOKUP(K48,'Rail Relocation'!$M$5:$N$29,2)/'Rail Relocation'!$Q$5</f>
        <v>5.8999999999999999E-3</v>
      </c>
      <c r="W48" s="734">
        <f>'Rail Relocation'!$R$5*VLOOKUP(L48,'Rail Relocation'!$M$5:$N$29,2)/'Rail Relocation'!$Q$5</f>
        <v>7.3216190476190473E-3</v>
      </c>
      <c r="X48" s="734">
        <f>'Rail Relocation'!$R$5*VLOOKUP(M48,'Rail Relocation'!$M$5:$N$29,2)/'Rail Relocation'!$Q$5</f>
        <v>6.5911428571428579E-3</v>
      </c>
      <c r="Y48" s="734">
        <f>'Rail Relocation'!$R$5*VLOOKUP(N48,'Rail Relocation'!$M$5:$N$29,2)/'Rail Relocation'!$Q$5</f>
        <v>3.1129523809523807E-3</v>
      </c>
      <c r="Z48" s="734">
        <f>1/(1+'Rail Relocation'!$E$4*'Rail Relocation'!$E$5*'Rail Relocation'!$E$6*'Rail Relocation'!$E$7*'Rail Relocation'!$E$8)</f>
        <v>1.5575965260442358E-2</v>
      </c>
      <c r="AA48" s="734">
        <f>(1-Z48)/(1+'Rail Relocation'!$J$4*'Rail Relocation'!$J$5*'Rail Relocation'!$J$6*'Rail Relocation'!$J$7)</f>
        <v>0.22394818472438099</v>
      </c>
      <c r="AB48" s="734">
        <f t="shared" si="0"/>
        <v>0.7604758500151767</v>
      </c>
      <c r="AC48" s="960">
        <f t="shared" si="1"/>
        <v>1403.5203256113712</v>
      </c>
      <c r="AD48" s="960">
        <f t="shared" si="2"/>
        <v>1263.4914366401679</v>
      </c>
      <c r="AE48" s="960">
        <f t="shared" si="3"/>
        <v>1517.6977273878911</v>
      </c>
      <c r="AF48" s="960">
        <f t="shared" si="4"/>
        <v>1403.5203256113712</v>
      </c>
      <c r="AG48" s="960">
        <f t="shared" si="5"/>
        <v>1681.4238129542216</v>
      </c>
      <c r="AH48" s="960">
        <f t="shared" si="6"/>
        <v>1131.0025647674136</v>
      </c>
      <c r="AI48" s="960">
        <f t="shared" si="7"/>
        <v>2317.4781124734195</v>
      </c>
      <c r="AJ48" s="960">
        <f t="shared" si="8"/>
        <v>1131.0025647674136</v>
      </c>
      <c r="AK48" s="960">
        <f t="shared" si="9"/>
        <v>1403.5203256113712</v>
      </c>
      <c r="AL48" s="960">
        <f t="shared" si="10"/>
        <v>1263.4914366401679</v>
      </c>
      <c r="AM48" s="960">
        <f t="shared" si="11"/>
        <v>596.738496077283</v>
      </c>
      <c r="AN48" s="960">
        <f t="shared" si="12"/>
        <v>15112.887128542092</v>
      </c>
    </row>
    <row r="49" spans="2:40" ht="15" x14ac:dyDescent="0.25">
      <c r="B49" s="1016">
        <v>31</v>
      </c>
      <c r="C49" s="1017">
        <v>2050</v>
      </c>
      <c r="D49" s="1044">
        <f>D48*'Rates - Single'!$C$212</f>
        <v>8790</v>
      </c>
      <c r="E49" s="1044">
        <f>E48*'Rates - Single'!$C$212</f>
        <v>7940</v>
      </c>
      <c r="F49" s="1044">
        <f>F48*'Rates - Single'!$C$212</f>
        <v>12040</v>
      </c>
      <c r="G49" s="1044">
        <f>G48*'Rates - Single'!$C$212</f>
        <v>8260</v>
      </c>
      <c r="H49" s="1044">
        <f>H48*'Rates - Single'!$C$212</f>
        <v>17780</v>
      </c>
      <c r="I49" s="1044">
        <f>I48*'Rates - Single'!$C$212</f>
        <v>4720</v>
      </c>
      <c r="J49" s="1044">
        <f>J48*'Rates - Single'!$C$212</f>
        <v>41820</v>
      </c>
      <c r="K49" s="1044">
        <f>K48*'Rates - Single'!$C$212</f>
        <v>4040</v>
      </c>
      <c r="L49" s="1044">
        <f>L48*'Rates - Single'!$C$212</f>
        <v>8870</v>
      </c>
      <c r="M49" s="1044">
        <f>M48*'Rates - Single'!$C$212</f>
        <v>6130</v>
      </c>
      <c r="N49" s="1017">
        <v>500</v>
      </c>
      <c r="O49" s="734">
        <f>'Rail Relocation'!$R$5*VLOOKUP(D49,'Rail Relocation'!$M$5:$N$29,2)/'Rail Relocation'!$Q$5</f>
        <v>7.3216190476190473E-3</v>
      </c>
      <c r="P49" s="734">
        <f>'Rail Relocation'!$R$5*VLOOKUP(E49,'Rail Relocation'!$M$5:$N$29,2)/'Rail Relocation'!$Q$5</f>
        <v>6.5911428571428579E-3</v>
      </c>
      <c r="Q49" s="734">
        <f>'Rail Relocation'!$R$5*VLOOKUP(F49,'Rail Relocation'!$M$5:$N$29,2)/'Rail Relocation'!$Q$5</f>
        <v>7.9172380952380952E-3</v>
      </c>
      <c r="R49" s="734">
        <f>'Rail Relocation'!$R$5*VLOOKUP(G49,'Rail Relocation'!$M$5:$N$29,2)/'Rail Relocation'!$Q$5</f>
        <v>7.3216190476190473E-3</v>
      </c>
      <c r="S49" s="734">
        <f>'Rail Relocation'!$R$5*VLOOKUP(H49,'Rail Relocation'!$M$5:$N$29,2)/'Rail Relocation'!$Q$5</f>
        <v>8.7713333333333341E-3</v>
      </c>
      <c r="T49" s="734">
        <f>'Rail Relocation'!$R$5*VLOOKUP(I49,'Rail Relocation'!$M$5:$N$29,2)/'Rail Relocation'!$Q$5</f>
        <v>5.8999999999999999E-3</v>
      </c>
      <c r="U49" s="734">
        <f>'Rail Relocation'!$R$5*VLOOKUP(J49,'Rail Relocation'!$M$5:$N$29,2)/'Rail Relocation'!$Q$5</f>
        <v>1.2089380952380954E-2</v>
      </c>
      <c r="V49" s="734">
        <f>'Rail Relocation'!$R$5*VLOOKUP(K49,'Rail Relocation'!$M$5:$N$29,2)/'Rail Relocation'!$Q$5</f>
        <v>5.8999999999999999E-3</v>
      </c>
      <c r="W49" s="734">
        <f>'Rail Relocation'!$R$5*VLOOKUP(L49,'Rail Relocation'!$M$5:$N$29,2)/'Rail Relocation'!$Q$5</f>
        <v>7.3216190476190473E-3</v>
      </c>
      <c r="X49" s="734">
        <f>'Rail Relocation'!$R$5*VLOOKUP(M49,'Rail Relocation'!$M$5:$N$29,2)/'Rail Relocation'!$Q$5</f>
        <v>6.5911428571428579E-3</v>
      </c>
      <c r="Y49" s="734">
        <f>'Rail Relocation'!$R$5*VLOOKUP(N49,'Rail Relocation'!$M$5:$N$29,2)/'Rail Relocation'!$Q$5</f>
        <v>3.1129523809523807E-3</v>
      </c>
      <c r="Z49" s="734">
        <f>1/(1+'Rail Relocation'!$E$4*'Rail Relocation'!$E$5*'Rail Relocation'!$E$6*'Rail Relocation'!$E$7*'Rail Relocation'!$E$8)</f>
        <v>1.5575965260442358E-2</v>
      </c>
      <c r="AA49" s="734">
        <f>(1-Z49)/(1+'Rail Relocation'!$J$4*'Rail Relocation'!$J$5*'Rail Relocation'!$J$6*'Rail Relocation'!$J$7)</f>
        <v>0.22394818472438099</v>
      </c>
      <c r="AB49" s="734">
        <f t="shared" si="0"/>
        <v>0.7604758500151767</v>
      </c>
      <c r="AC49" s="960">
        <f t="shared" si="1"/>
        <v>1403.5203256113712</v>
      </c>
      <c r="AD49" s="960">
        <f t="shared" si="2"/>
        <v>1263.4914366401679</v>
      </c>
      <c r="AE49" s="960">
        <f t="shared" si="3"/>
        <v>1517.6977273878911</v>
      </c>
      <c r="AF49" s="960">
        <f t="shared" si="4"/>
        <v>1403.5203256113712</v>
      </c>
      <c r="AG49" s="960">
        <f t="shared" si="5"/>
        <v>1681.4238129542216</v>
      </c>
      <c r="AH49" s="960">
        <f t="shared" si="6"/>
        <v>1131.0025647674136</v>
      </c>
      <c r="AI49" s="960">
        <f t="shared" si="7"/>
        <v>2317.4781124734195</v>
      </c>
      <c r="AJ49" s="960">
        <f t="shared" si="8"/>
        <v>1131.0025647674136</v>
      </c>
      <c r="AK49" s="960">
        <f t="shared" si="9"/>
        <v>1403.5203256113712</v>
      </c>
      <c r="AL49" s="960">
        <f t="shared" si="10"/>
        <v>1263.4914366401679</v>
      </c>
      <c r="AM49" s="960">
        <f t="shared" si="11"/>
        <v>596.738496077283</v>
      </c>
      <c r="AN49" s="960">
        <f t="shared" si="12"/>
        <v>15112.887128542092</v>
      </c>
    </row>
    <row r="50" spans="2:40" ht="15" x14ac:dyDescent="0.25">
      <c r="B50" s="1016">
        <v>32</v>
      </c>
      <c r="C50" s="1017">
        <v>2051</v>
      </c>
      <c r="D50" s="1044">
        <f>D49*'Rates - Single'!$C$212</f>
        <v>8790</v>
      </c>
      <c r="E50" s="1044">
        <f>E49*'Rates - Single'!$C$212</f>
        <v>7940</v>
      </c>
      <c r="F50" s="1044">
        <f>F49*'Rates - Single'!$C$212</f>
        <v>12040</v>
      </c>
      <c r="G50" s="1044">
        <f>G49*'Rates - Single'!$C$212</f>
        <v>8260</v>
      </c>
      <c r="H50" s="1044">
        <f>H49*'Rates - Single'!$C$212</f>
        <v>17780</v>
      </c>
      <c r="I50" s="1044">
        <f>I49*'Rates - Single'!$C$212</f>
        <v>4720</v>
      </c>
      <c r="J50" s="1044">
        <f>J49*'Rates - Single'!$C$212</f>
        <v>41820</v>
      </c>
      <c r="K50" s="1044">
        <f>K49*'Rates - Single'!$C$212</f>
        <v>4040</v>
      </c>
      <c r="L50" s="1044">
        <f>L49*'Rates - Single'!$C$212</f>
        <v>8870</v>
      </c>
      <c r="M50" s="1044">
        <f>M49*'Rates - Single'!$C$212</f>
        <v>6130</v>
      </c>
      <c r="N50" s="1017">
        <v>500</v>
      </c>
      <c r="O50" s="734">
        <f>'Rail Relocation'!$R$5*VLOOKUP(D50,'Rail Relocation'!$M$5:$N$29,2)/'Rail Relocation'!$Q$5</f>
        <v>7.3216190476190473E-3</v>
      </c>
      <c r="P50" s="734">
        <f>'Rail Relocation'!$R$5*VLOOKUP(E50,'Rail Relocation'!$M$5:$N$29,2)/'Rail Relocation'!$Q$5</f>
        <v>6.5911428571428579E-3</v>
      </c>
      <c r="Q50" s="734">
        <f>'Rail Relocation'!$R$5*VLOOKUP(F50,'Rail Relocation'!$M$5:$N$29,2)/'Rail Relocation'!$Q$5</f>
        <v>7.9172380952380952E-3</v>
      </c>
      <c r="R50" s="734">
        <f>'Rail Relocation'!$R$5*VLOOKUP(G50,'Rail Relocation'!$M$5:$N$29,2)/'Rail Relocation'!$Q$5</f>
        <v>7.3216190476190473E-3</v>
      </c>
      <c r="S50" s="734">
        <f>'Rail Relocation'!$R$5*VLOOKUP(H50,'Rail Relocation'!$M$5:$N$29,2)/'Rail Relocation'!$Q$5</f>
        <v>8.7713333333333341E-3</v>
      </c>
      <c r="T50" s="734">
        <f>'Rail Relocation'!$R$5*VLOOKUP(I50,'Rail Relocation'!$M$5:$N$29,2)/'Rail Relocation'!$Q$5</f>
        <v>5.8999999999999999E-3</v>
      </c>
      <c r="U50" s="734">
        <f>'Rail Relocation'!$R$5*VLOOKUP(J50,'Rail Relocation'!$M$5:$N$29,2)/'Rail Relocation'!$Q$5</f>
        <v>1.2089380952380954E-2</v>
      </c>
      <c r="V50" s="734">
        <f>'Rail Relocation'!$R$5*VLOOKUP(K50,'Rail Relocation'!$M$5:$N$29,2)/'Rail Relocation'!$Q$5</f>
        <v>5.8999999999999999E-3</v>
      </c>
      <c r="W50" s="734">
        <f>'Rail Relocation'!$R$5*VLOOKUP(L50,'Rail Relocation'!$M$5:$N$29,2)/'Rail Relocation'!$Q$5</f>
        <v>7.3216190476190473E-3</v>
      </c>
      <c r="X50" s="734">
        <f>'Rail Relocation'!$R$5*VLOOKUP(M50,'Rail Relocation'!$M$5:$N$29,2)/'Rail Relocation'!$Q$5</f>
        <v>6.5911428571428579E-3</v>
      </c>
      <c r="Y50" s="734">
        <f>'Rail Relocation'!$R$5*VLOOKUP(N50,'Rail Relocation'!$M$5:$N$29,2)/'Rail Relocation'!$Q$5</f>
        <v>3.1129523809523807E-3</v>
      </c>
      <c r="Z50" s="734">
        <f>1/(1+'Rail Relocation'!$E$4*'Rail Relocation'!$E$5*'Rail Relocation'!$E$6*'Rail Relocation'!$E$7*'Rail Relocation'!$E$8)</f>
        <v>1.5575965260442358E-2</v>
      </c>
      <c r="AA50" s="734">
        <f>(1-Z50)/(1+'Rail Relocation'!$J$4*'Rail Relocation'!$J$5*'Rail Relocation'!$J$6*'Rail Relocation'!$J$7)</f>
        <v>0.22394818472438099</v>
      </c>
      <c r="AB50" s="734">
        <f t="shared" si="0"/>
        <v>0.7604758500151767</v>
      </c>
      <c r="AC50" s="960">
        <f t="shared" si="1"/>
        <v>1403.5203256113712</v>
      </c>
      <c r="AD50" s="960">
        <f t="shared" si="2"/>
        <v>1263.4914366401679</v>
      </c>
      <c r="AE50" s="960">
        <f t="shared" si="3"/>
        <v>1517.6977273878911</v>
      </c>
      <c r="AF50" s="960">
        <f t="shared" si="4"/>
        <v>1403.5203256113712</v>
      </c>
      <c r="AG50" s="960">
        <f t="shared" si="5"/>
        <v>1681.4238129542216</v>
      </c>
      <c r="AH50" s="960">
        <f t="shared" si="6"/>
        <v>1131.0025647674136</v>
      </c>
      <c r="AI50" s="960">
        <f t="shared" si="7"/>
        <v>2317.4781124734195</v>
      </c>
      <c r="AJ50" s="960">
        <f t="shared" si="8"/>
        <v>1131.0025647674136</v>
      </c>
      <c r="AK50" s="960">
        <f t="shared" si="9"/>
        <v>1403.5203256113712</v>
      </c>
      <c r="AL50" s="960">
        <f t="shared" si="10"/>
        <v>1263.4914366401679</v>
      </c>
      <c r="AM50" s="960">
        <f t="shared" si="11"/>
        <v>596.738496077283</v>
      </c>
      <c r="AN50" s="960">
        <f t="shared" si="12"/>
        <v>15112.887128542092</v>
      </c>
    </row>
    <row r="51" spans="2:40" ht="15" x14ac:dyDescent="0.25">
      <c r="B51" s="1016">
        <v>33</v>
      </c>
      <c r="C51" s="1017">
        <v>2052</v>
      </c>
      <c r="D51" s="1044">
        <f>D50*'Rates - Single'!$C$212</f>
        <v>8790</v>
      </c>
      <c r="E51" s="1044">
        <f>E50*'Rates - Single'!$C$212</f>
        <v>7940</v>
      </c>
      <c r="F51" s="1044">
        <f>F50*'Rates - Single'!$C$212</f>
        <v>12040</v>
      </c>
      <c r="G51" s="1044">
        <f>G50*'Rates - Single'!$C$212</f>
        <v>8260</v>
      </c>
      <c r="H51" s="1044">
        <f>H50*'Rates - Single'!$C$212</f>
        <v>17780</v>
      </c>
      <c r="I51" s="1044">
        <f>I50*'Rates - Single'!$C$212</f>
        <v>4720</v>
      </c>
      <c r="J51" s="1044">
        <f>J50*'Rates - Single'!$C$212</f>
        <v>41820</v>
      </c>
      <c r="K51" s="1044">
        <f>K50*'Rates - Single'!$C$212</f>
        <v>4040</v>
      </c>
      <c r="L51" s="1044">
        <f>L50*'Rates - Single'!$C$212</f>
        <v>8870</v>
      </c>
      <c r="M51" s="1044">
        <f>M50*'Rates - Single'!$C$212</f>
        <v>6130</v>
      </c>
      <c r="N51" s="1017">
        <v>500</v>
      </c>
      <c r="O51" s="734">
        <f>'Rail Relocation'!$R$5*VLOOKUP(D51,'Rail Relocation'!$M$5:$N$29,2)/'Rail Relocation'!$Q$5</f>
        <v>7.3216190476190473E-3</v>
      </c>
      <c r="P51" s="734">
        <f>'Rail Relocation'!$R$5*VLOOKUP(E51,'Rail Relocation'!$M$5:$N$29,2)/'Rail Relocation'!$Q$5</f>
        <v>6.5911428571428579E-3</v>
      </c>
      <c r="Q51" s="734">
        <f>'Rail Relocation'!$R$5*VLOOKUP(F51,'Rail Relocation'!$M$5:$N$29,2)/'Rail Relocation'!$Q$5</f>
        <v>7.9172380952380952E-3</v>
      </c>
      <c r="R51" s="734">
        <f>'Rail Relocation'!$R$5*VLOOKUP(G51,'Rail Relocation'!$M$5:$N$29,2)/'Rail Relocation'!$Q$5</f>
        <v>7.3216190476190473E-3</v>
      </c>
      <c r="S51" s="734">
        <f>'Rail Relocation'!$R$5*VLOOKUP(H51,'Rail Relocation'!$M$5:$N$29,2)/'Rail Relocation'!$Q$5</f>
        <v>8.7713333333333341E-3</v>
      </c>
      <c r="T51" s="734">
        <f>'Rail Relocation'!$R$5*VLOOKUP(I51,'Rail Relocation'!$M$5:$N$29,2)/'Rail Relocation'!$Q$5</f>
        <v>5.8999999999999999E-3</v>
      </c>
      <c r="U51" s="734">
        <f>'Rail Relocation'!$R$5*VLOOKUP(J51,'Rail Relocation'!$M$5:$N$29,2)/'Rail Relocation'!$Q$5</f>
        <v>1.2089380952380954E-2</v>
      </c>
      <c r="V51" s="734">
        <f>'Rail Relocation'!$R$5*VLOOKUP(K51,'Rail Relocation'!$M$5:$N$29,2)/'Rail Relocation'!$Q$5</f>
        <v>5.8999999999999999E-3</v>
      </c>
      <c r="W51" s="734">
        <f>'Rail Relocation'!$R$5*VLOOKUP(L51,'Rail Relocation'!$M$5:$N$29,2)/'Rail Relocation'!$Q$5</f>
        <v>7.3216190476190473E-3</v>
      </c>
      <c r="X51" s="734">
        <f>'Rail Relocation'!$R$5*VLOOKUP(M51,'Rail Relocation'!$M$5:$N$29,2)/'Rail Relocation'!$Q$5</f>
        <v>6.5911428571428579E-3</v>
      </c>
      <c r="Y51" s="734">
        <f>'Rail Relocation'!$R$5*VLOOKUP(N51,'Rail Relocation'!$M$5:$N$29,2)/'Rail Relocation'!$Q$5</f>
        <v>3.1129523809523807E-3</v>
      </c>
      <c r="Z51" s="734">
        <f>1/(1+'Rail Relocation'!$E$4*'Rail Relocation'!$E$5*'Rail Relocation'!$E$6*'Rail Relocation'!$E$7*'Rail Relocation'!$E$8)</f>
        <v>1.5575965260442358E-2</v>
      </c>
      <c r="AA51" s="734">
        <f>(1-Z51)/(1+'Rail Relocation'!$J$4*'Rail Relocation'!$J$5*'Rail Relocation'!$J$6*'Rail Relocation'!$J$7)</f>
        <v>0.22394818472438099</v>
      </c>
      <c r="AB51" s="734">
        <f t="shared" si="0"/>
        <v>0.7604758500151767</v>
      </c>
      <c r="AC51" s="960">
        <f t="shared" si="1"/>
        <v>1403.5203256113712</v>
      </c>
      <c r="AD51" s="960">
        <f t="shared" si="2"/>
        <v>1263.4914366401679</v>
      </c>
      <c r="AE51" s="960">
        <f t="shared" si="3"/>
        <v>1517.6977273878911</v>
      </c>
      <c r="AF51" s="960">
        <f t="shared" si="4"/>
        <v>1403.5203256113712</v>
      </c>
      <c r="AG51" s="960">
        <f t="shared" si="5"/>
        <v>1681.4238129542216</v>
      </c>
      <c r="AH51" s="960">
        <f t="shared" si="6"/>
        <v>1131.0025647674136</v>
      </c>
      <c r="AI51" s="960">
        <f t="shared" si="7"/>
        <v>2317.4781124734195</v>
      </c>
      <c r="AJ51" s="960">
        <f t="shared" si="8"/>
        <v>1131.0025647674136</v>
      </c>
      <c r="AK51" s="960">
        <f t="shared" si="9"/>
        <v>1403.5203256113712</v>
      </c>
      <c r="AL51" s="960">
        <f t="shared" si="10"/>
        <v>1263.4914366401679</v>
      </c>
      <c r="AM51" s="960">
        <f t="shared" si="11"/>
        <v>596.738496077283</v>
      </c>
      <c r="AN51" s="960">
        <f t="shared" si="12"/>
        <v>15112.887128542092</v>
      </c>
    </row>
    <row r="52" spans="2:40" ht="15" x14ac:dyDescent="0.25">
      <c r="B52" s="1016">
        <v>34</v>
      </c>
      <c r="C52" s="1017">
        <v>2053</v>
      </c>
      <c r="D52" s="1044">
        <f>D51*'Rates - Single'!$C$212</f>
        <v>8790</v>
      </c>
      <c r="E52" s="1044">
        <f>E51*'Rates - Single'!$C$212</f>
        <v>7940</v>
      </c>
      <c r="F52" s="1044">
        <f>F51*'Rates - Single'!$C$212</f>
        <v>12040</v>
      </c>
      <c r="G52" s="1044">
        <f>G51*'Rates - Single'!$C$212</f>
        <v>8260</v>
      </c>
      <c r="H52" s="1044">
        <f>H51*'Rates - Single'!$C$212</f>
        <v>17780</v>
      </c>
      <c r="I52" s="1044">
        <f>I51*'Rates - Single'!$C$212</f>
        <v>4720</v>
      </c>
      <c r="J52" s="1044">
        <f>J51*'Rates - Single'!$C$212</f>
        <v>41820</v>
      </c>
      <c r="K52" s="1044">
        <f>K51*'Rates - Single'!$C$212</f>
        <v>4040</v>
      </c>
      <c r="L52" s="1044">
        <f>L51*'Rates - Single'!$C$212</f>
        <v>8870</v>
      </c>
      <c r="M52" s="1044">
        <f>M51*'Rates - Single'!$C$212</f>
        <v>6130</v>
      </c>
      <c r="N52" s="1017">
        <v>500</v>
      </c>
      <c r="O52" s="734">
        <f>'Rail Relocation'!$R$5*VLOOKUP(D52,'Rail Relocation'!$M$5:$N$29,2)/'Rail Relocation'!$Q$5</f>
        <v>7.3216190476190473E-3</v>
      </c>
      <c r="P52" s="734">
        <f>'Rail Relocation'!$R$5*VLOOKUP(E52,'Rail Relocation'!$M$5:$N$29,2)/'Rail Relocation'!$Q$5</f>
        <v>6.5911428571428579E-3</v>
      </c>
      <c r="Q52" s="734">
        <f>'Rail Relocation'!$R$5*VLOOKUP(F52,'Rail Relocation'!$M$5:$N$29,2)/'Rail Relocation'!$Q$5</f>
        <v>7.9172380952380952E-3</v>
      </c>
      <c r="R52" s="734">
        <f>'Rail Relocation'!$R$5*VLOOKUP(G52,'Rail Relocation'!$M$5:$N$29,2)/'Rail Relocation'!$Q$5</f>
        <v>7.3216190476190473E-3</v>
      </c>
      <c r="S52" s="734">
        <f>'Rail Relocation'!$R$5*VLOOKUP(H52,'Rail Relocation'!$M$5:$N$29,2)/'Rail Relocation'!$Q$5</f>
        <v>8.7713333333333341E-3</v>
      </c>
      <c r="T52" s="734">
        <f>'Rail Relocation'!$R$5*VLOOKUP(I52,'Rail Relocation'!$M$5:$N$29,2)/'Rail Relocation'!$Q$5</f>
        <v>5.8999999999999999E-3</v>
      </c>
      <c r="U52" s="734">
        <f>'Rail Relocation'!$R$5*VLOOKUP(J52,'Rail Relocation'!$M$5:$N$29,2)/'Rail Relocation'!$Q$5</f>
        <v>1.2089380952380954E-2</v>
      </c>
      <c r="V52" s="734">
        <f>'Rail Relocation'!$R$5*VLOOKUP(K52,'Rail Relocation'!$M$5:$N$29,2)/'Rail Relocation'!$Q$5</f>
        <v>5.8999999999999999E-3</v>
      </c>
      <c r="W52" s="734">
        <f>'Rail Relocation'!$R$5*VLOOKUP(L52,'Rail Relocation'!$M$5:$N$29,2)/'Rail Relocation'!$Q$5</f>
        <v>7.3216190476190473E-3</v>
      </c>
      <c r="X52" s="734">
        <f>'Rail Relocation'!$R$5*VLOOKUP(M52,'Rail Relocation'!$M$5:$N$29,2)/'Rail Relocation'!$Q$5</f>
        <v>6.5911428571428579E-3</v>
      </c>
      <c r="Y52" s="734">
        <f>'Rail Relocation'!$R$5*VLOOKUP(N52,'Rail Relocation'!$M$5:$N$29,2)/'Rail Relocation'!$Q$5</f>
        <v>3.1129523809523807E-3</v>
      </c>
      <c r="Z52" s="734">
        <f>1/(1+'Rail Relocation'!$E$4*'Rail Relocation'!$E$5*'Rail Relocation'!$E$6*'Rail Relocation'!$E$7*'Rail Relocation'!$E$8)</f>
        <v>1.5575965260442358E-2</v>
      </c>
      <c r="AA52" s="734">
        <f>(1-Z52)/(1+'Rail Relocation'!$J$4*'Rail Relocation'!$J$5*'Rail Relocation'!$J$6*'Rail Relocation'!$J$7)</f>
        <v>0.22394818472438099</v>
      </c>
      <c r="AB52" s="734">
        <f t="shared" si="0"/>
        <v>0.7604758500151767</v>
      </c>
      <c r="AC52" s="960">
        <f t="shared" si="1"/>
        <v>1403.5203256113712</v>
      </c>
      <c r="AD52" s="960">
        <f t="shared" si="2"/>
        <v>1263.4914366401679</v>
      </c>
      <c r="AE52" s="960">
        <f t="shared" si="3"/>
        <v>1517.6977273878911</v>
      </c>
      <c r="AF52" s="960">
        <f t="shared" si="4"/>
        <v>1403.5203256113712</v>
      </c>
      <c r="AG52" s="960">
        <f t="shared" si="5"/>
        <v>1681.4238129542216</v>
      </c>
      <c r="AH52" s="960">
        <f t="shared" si="6"/>
        <v>1131.0025647674136</v>
      </c>
      <c r="AI52" s="960">
        <f t="shared" si="7"/>
        <v>2317.4781124734195</v>
      </c>
      <c r="AJ52" s="960">
        <f t="shared" si="8"/>
        <v>1131.0025647674136</v>
      </c>
      <c r="AK52" s="960">
        <f t="shared" si="9"/>
        <v>1403.5203256113712</v>
      </c>
      <c r="AL52" s="960">
        <f t="shared" si="10"/>
        <v>1263.4914366401679</v>
      </c>
      <c r="AM52" s="960">
        <f t="shared" si="11"/>
        <v>596.738496077283</v>
      </c>
      <c r="AN52" s="960">
        <f t="shared" si="12"/>
        <v>15112.887128542092</v>
      </c>
    </row>
    <row r="53" spans="2:40" ht="15" x14ac:dyDescent="0.25">
      <c r="B53" s="1016">
        <v>35</v>
      </c>
      <c r="C53" s="1017">
        <v>2054</v>
      </c>
      <c r="D53" s="1044">
        <f>D52*'Rates - Single'!$C$212</f>
        <v>8790</v>
      </c>
      <c r="E53" s="1044">
        <f>E52*'Rates - Single'!$C$212</f>
        <v>7940</v>
      </c>
      <c r="F53" s="1044">
        <f>F52*'Rates - Single'!$C$212</f>
        <v>12040</v>
      </c>
      <c r="G53" s="1044">
        <f>G52*'Rates - Single'!$C$212</f>
        <v>8260</v>
      </c>
      <c r="H53" s="1044">
        <f>H52*'Rates - Single'!$C$212</f>
        <v>17780</v>
      </c>
      <c r="I53" s="1044">
        <f>I52*'Rates - Single'!$C$212</f>
        <v>4720</v>
      </c>
      <c r="J53" s="1044">
        <f>J52*'Rates - Single'!$C$212</f>
        <v>41820</v>
      </c>
      <c r="K53" s="1044">
        <f>K52*'Rates - Single'!$C$212</f>
        <v>4040</v>
      </c>
      <c r="L53" s="1044">
        <f>L52*'Rates - Single'!$C$212</f>
        <v>8870</v>
      </c>
      <c r="M53" s="1044">
        <f>M52*'Rates - Single'!$C$212</f>
        <v>6130</v>
      </c>
      <c r="N53" s="1017">
        <v>500</v>
      </c>
      <c r="O53" s="734">
        <f>'Rail Relocation'!$R$5*VLOOKUP(D53,'Rail Relocation'!$M$5:$N$29,2)/'Rail Relocation'!$Q$5</f>
        <v>7.3216190476190473E-3</v>
      </c>
      <c r="P53" s="734">
        <f>'Rail Relocation'!$R$5*VLOOKUP(E53,'Rail Relocation'!$M$5:$N$29,2)/'Rail Relocation'!$Q$5</f>
        <v>6.5911428571428579E-3</v>
      </c>
      <c r="Q53" s="734">
        <f>'Rail Relocation'!$R$5*VLOOKUP(F53,'Rail Relocation'!$M$5:$N$29,2)/'Rail Relocation'!$Q$5</f>
        <v>7.9172380952380952E-3</v>
      </c>
      <c r="R53" s="734">
        <f>'Rail Relocation'!$R$5*VLOOKUP(G53,'Rail Relocation'!$M$5:$N$29,2)/'Rail Relocation'!$Q$5</f>
        <v>7.3216190476190473E-3</v>
      </c>
      <c r="S53" s="734">
        <f>'Rail Relocation'!$R$5*VLOOKUP(H53,'Rail Relocation'!$M$5:$N$29,2)/'Rail Relocation'!$Q$5</f>
        <v>8.7713333333333341E-3</v>
      </c>
      <c r="T53" s="734">
        <f>'Rail Relocation'!$R$5*VLOOKUP(I53,'Rail Relocation'!$M$5:$N$29,2)/'Rail Relocation'!$Q$5</f>
        <v>5.8999999999999999E-3</v>
      </c>
      <c r="U53" s="734">
        <f>'Rail Relocation'!$R$5*VLOOKUP(J53,'Rail Relocation'!$M$5:$N$29,2)/'Rail Relocation'!$Q$5</f>
        <v>1.2089380952380954E-2</v>
      </c>
      <c r="V53" s="734">
        <f>'Rail Relocation'!$R$5*VLOOKUP(K53,'Rail Relocation'!$M$5:$N$29,2)/'Rail Relocation'!$Q$5</f>
        <v>5.8999999999999999E-3</v>
      </c>
      <c r="W53" s="734">
        <f>'Rail Relocation'!$R$5*VLOOKUP(L53,'Rail Relocation'!$M$5:$N$29,2)/'Rail Relocation'!$Q$5</f>
        <v>7.3216190476190473E-3</v>
      </c>
      <c r="X53" s="734">
        <f>'Rail Relocation'!$R$5*VLOOKUP(M53,'Rail Relocation'!$M$5:$N$29,2)/'Rail Relocation'!$Q$5</f>
        <v>6.5911428571428579E-3</v>
      </c>
      <c r="Y53" s="734">
        <f>'Rail Relocation'!$R$5*VLOOKUP(N53,'Rail Relocation'!$M$5:$N$29,2)/'Rail Relocation'!$Q$5</f>
        <v>3.1129523809523807E-3</v>
      </c>
      <c r="Z53" s="734">
        <f>1/(1+'Rail Relocation'!$E$4*'Rail Relocation'!$E$5*'Rail Relocation'!$E$6*'Rail Relocation'!$E$7*'Rail Relocation'!$E$8)</f>
        <v>1.5575965260442358E-2</v>
      </c>
      <c r="AA53" s="734">
        <f>(1-Z53)/(1+'Rail Relocation'!$J$4*'Rail Relocation'!$J$5*'Rail Relocation'!$J$6*'Rail Relocation'!$J$7)</f>
        <v>0.22394818472438099</v>
      </c>
      <c r="AB53" s="734">
        <f t="shared" si="0"/>
        <v>0.7604758500151767</v>
      </c>
      <c r="AC53" s="960">
        <f t="shared" si="1"/>
        <v>1403.5203256113712</v>
      </c>
      <c r="AD53" s="960">
        <f t="shared" si="2"/>
        <v>1263.4914366401679</v>
      </c>
      <c r="AE53" s="960">
        <f t="shared" si="3"/>
        <v>1517.6977273878911</v>
      </c>
      <c r="AF53" s="960">
        <f t="shared" si="4"/>
        <v>1403.5203256113712</v>
      </c>
      <c r="AG53" s="960">
        <f t="shared" si="5"/>
        <v>1681.4238129542216</v>
      </c>
      <c r="AH53" s="960">
        <f t="shared" si="6"/>
        <v>1131.0025647674136</v>
      </c>
      <c r="AI53" s="960">
        <f t="shared" si="7"/>
        <v>2317.4781124734195</v>
      </c>
      <c r="AJ53" s="960">
        <f t="shared" si="8"/>
        <v>1131.0025647674136</v>
      </c>
      <c r="AK53" s="960">
        <f t="shared" si="9"/>
        <v>1403.5203256113712</v>
      </c>
      <c r="AL53" s="960">
        <f t="shared" si="10"/>
        <v>1263.4914366401679</v>
      </c>
      <c r="AM53" s="960">
        <f t="shared" si="11"/>
        <v>596.738496077283</v>
      </c>
      <c r="AN53" s="960">
        <f t="shared" si="12"/>
        <v>15112.887128542092</v>
      </c>
    </row>
    <row r="54" spans="2:40" ht="15" x14ac:dyDescent="0.25">
      <c r="B54" s="1016">
        <v>36</v>
      </c>
      <c r="C54" s="1017">
        <v>2055</v>
      </c>
      <c r="D54" s="1044">
        <f>D53*'Rates - Single'!$C$212</f>
        <v>8790</v>
      </c>
      <c r="E54" s="1044">
        <f>E53*'Rates - Single'!$C$212</f>
        <v>7940</v>
      </c>
      <c r="F54" s="1044">
        <f>F53*'Rates - Single'!$C$212</f>
        <v>12040</v>
      </c>
      <c r="G54" s="1044">
        <f>G53*'Rates - Single'!$C$212</f>
        <v>8260</v>
      </c>
      <c r="H54" s="1044">
        <f>H53*'Rates - Single'!$C$212</f>
        <v>17780</v>
      </c>
      <c r="I54" s="1044">
        <f>I53*'Rates - Single'!$C$212</f>
        <v>4720</v>
      </c>
      <c r="J54" s="1044">
        <f>J53*'Rates - Single'!$C$212</f>
        <v>41820</v>
      </c>
      <c r="K54" s="1044">
        <f>K53*'Rates - Single'!$C$212</f>
        <v>4040</v>
      </c>
      <c r="L54" s="1044">
        <f>L53*'Rates - Single'!$C$212</f>
        <v>8870</v>
      </c>
      <c r="M54" s="1044">
        <f>M53*'Rates - Single'!$C$212</f>
        <v>6130</v>
      </c>
      <c r="N54" s="1017">
        <v>500</v>
      </c>
      <c r="O54" s="734">
        <f>'Rail Relocation'!$R$5*VLOOKUP(D54,'Rail Relocation'!$M$5:$N$29,2)/'Rail Relocation'!$Q$5</f>
        <v>7.3216190476190473E-3</v>
      </c>
      <c r="P54" s="734">
        <f>'Rail Relocation'!$R$5*VLOOKUP(E54,'Rail Relocation'!$M$5:$N$29,2)/'Rail Relocation'!$Q$5</f>
        <v>6.5911428571428579E-3</v>
      </c>
      <c r="Q54" s="734">
        <f>'Rail Relocation'!$R$5*VLOOKUP(F54,'Rail Relocation'!$M$5:$N$29,2)/'Rail Relocation'!$Q$5</f>
        <v>7.9172380952380952E-3</v>
      </c>
      <c r="R54" s="734">
        <f>'Rail Relocation'!$R$5*VLOOKUP(G54,'Rail Relocation'!$M$5:$N$29,2)/'Rail Relocation'!$Q$5</f>
        <v>7.3216190476190473E-3</v>
      </c>
      <c r="S54" s="734">
        <f>'Rail Relocation'!$R$5*VLOOKUP(H54,'Rail Relocation'!$M$5:$N$29,2)/'Rail Relocation'!$Q$5</f>
        <v>8.7713333333333341E-3</v>
      </c>
      <c r="T54" s="734">
        <f>'Rail Relocation'!$R$5*VLOOKUP(I54,'Rail Relocation'!$M$5:$N$29,2)/'Rail Relocation'!$Q$5</f>
        <v>5.8999999999999999E-3</v>
      </c>
      <c r="U54" s="734">
        <f>'Rail Relocation'!$R$5*VLOOKUP(J54,'Rail Relocation'!$M$5:$N$29,2)/'Rail Relocation'!$Q$5</f>
        <v>1.2089380952380954E-2</v>
      </c>
      <c r="V54" s="734">
        <f>'Rail Relocation'!$R$5*VLOOKUP(K54,'Rail Relocation'!$M$5:$N$29,2)/'Rail Relocation'!$Q$5</f>
        <v>5.8999999999999999E-3</v>
      </c>
      <c r="W54" s="734">
        <f>'Rail Relocation'!$R$5*VLOOKUP(L54,'Rail Relocation'!$M$5:$N$29,2)/'Rail Relocation'!$Q$5</f>
        <v>7.3216190476190473E-3</v>
      </c>
      <c r="X54" s="734">
        <f>'Rail Relocation'!$R$5*VLOOKUP(M54,'Rail Relocation'!$M$5:$N$29,2)/'Rail Relocation'!$Q$5</f>
        <v>6.5911428571428579E-3</v>
      </c>
      <c r="Y54" s="734">
        <f>'Rail Relocation'!$R$5*VLOOKUP(N54,'Rail Relocation'!$M$5:$N$29,2)/'Rail Relocation'!$Q$5</f>
        <v>3.1129523809523807E-3</v>
      </c>
      <c r="Z54" s="734">
        <f>1/(1+'Rail Relocation'!$E$4*'Rail Relocation'!$E$5*'Rail Relocation'!$E$6*'Rail Relocation'!$E$7*'Rail Relocation'!$E$8)</f>
        <v>1.5575965260442358E-2</v>
      </c>
      <c r="AA54" s="734">
        <f>(1-Z54)/(1+'Rail Relocation'!$J$4*'Rail Relocation'!$J$5*'Rail Relocation'!$J$6*'Rail Relocation'!$J$7)</f>
        <v>0.22394818472438099</v>
      </c>
      <c r="AB54" s="734">
        <f t="shared" si="0"/>
        <v>0.7604758500151767</v>
      </c>
      <c r="AC54" s="960">
        <f t="shared" si="1"/>
        <v>1403.5203256113712</v>
      </c>
      <c r="AD54" s="960">
        <f t="shared" si="2"/>
        <v>1263.4914366401679</v>
      </c>
      <c r="AE54" s="960">
        <f t="shared" si="3"/>
        <v>1517.6977273878911</v>
      </c>
      <c r="AF54" s="960">
        <f t="shared" si="4"/>
        <v>1403.5203256113712</v>
      </c>
      <c r="AG54" s="960">
        <f t="shared" si="5"/>
        <v>1681.4238129542216</v>
      </c>
      <c r="AH54" s="960">
        <f t="shared" si="6"/>
        <v>1131.0025647674136</v>
      </c>
      <c r="AI54" s="960">
        <f t="shared" si="7"/>
        <v>2317.4781124734195</v>
      </c>
      <c r="AJ54" s="960">
        <f t="shared" si="8"/>
        <v>1131.0025647674136</v>
      </c>
      <c r="AK54" s="960">
        <f t="shared" si="9"/>
        <v>1403.5203256113712</v>
      </c>
      <c r="AL54" s="960">
        <f t="shared" si="10"/>
        <v>1263.4914366401679</v>
      </c>
      <c r="AM54" s="960">
        <f t="shared" si="11"/>
        <v>596.738496077283</v>
      </c>
      <c r="AN54" s="960">
        <f t="shared" si="12"/>
        <v>15112.887128542092</v>
      </c>
    </row>
    <row r="55" spans="2:40" ht="15" x14ac:dyDescent="0.25">
      <c r="B55" s="1016">
        <v>37</v>
      </c>
      <c r="C55" s="1017">
        <v>2056</v>
      </c>
      <c r="D55" s="1044">
        <f>D54*'Rates - Single'!$C$212</f>
        <v>8790</v>
      </c>
      <c r="E55" s="1044">
        <f>E54*'Rates - Single'!$C$212</f>
        <v>7940</v>
      </c>
      <c r="F55" s="1044">
        <f>F54*'Rates - Single'!$C$212</f>
        <v>12040</v>
      </c>
      <c r="G55" s="1044">
        <f>G54*'Rates - Single'!$C$212</f>
        <v>8260</v>
      </c>
      <c r="H55" s="1044">
        <f>H54*'Rates - Single'!$C$212</f>
        <v>17780</v>
      </c>
      <c r="I55" s="1044">
        <f>I54*'Rates - Single'!$C$212</f>
        <v>4720</v>
      </c>
      <c r="J55" s="1044">
        <f>J54*'Rates - Single'!$C$212</f>
        <v>41820</v>
      </c>
      <c r="K55" s="1044">
        <f>K54*'Rates - Single'!$C$212</f>
        <v>4040</v>
      </c>
      <c r="L55" s="1044">
        <f>L54*'Rates - Single'!$C$212</f>
        <v>8870</v>
      </c>
      <c r="M55" s="1044">
        <f>M54*'Rates - Single'!$C$212</f>
        <v>6130</v>
      </c>
      <c r="N55" s="1017">
        <v>500</v>
      </c>
      <c r="O55" s="734">
        <f>'Rail Relocation'!$R$5*VLOOKUP(D55,'Rail Relocation'!$M$5:$N$29,2)/'Rail Relocation'!$Q$5</f>
        <v>7.3216190476190473E-3</v>
      </c>
      <c r="P55" s="734">
        <f>'Rail Relocation'!$R$5*VLOOKUP(E55,'Rail Relocation'!$M$5:$N$29,2)/'Rail Relocation'!$Q$5</f>
        <v>6.5911428571428579E-3</v>
      </c>
      <c r="Q55" s="734">
        <f>'Rail Relocation'!$R$5*VLOOKUP(F55,'Rail Relocation'!$M$5:$N$29,2)/'Rail Relocation'!$Q$5</f>
        <v>7.9172380952380952E-3</v>
      </c>
      <c r="R55" s="734">
        <f>'Rail Relocation'!$R$5*VLOOKUP(G55,'Rail Relocation'!$M$5:$N$29,2)/'Rail Relocation'!$Q$5</f>
        <v>7.3216190476190473E-3</v>
      </c>
      <c r="S55" s="734">
        <f>'Rail Relocation'!$R$5*VLOOKUP(H55,'Rail Relocation'!$M$5:$N$29,2)/'Rail Relocation'!$Q$5</f>
        <v>8.7713333333333341E-3</v>
      </c>
      <c r="T55" s="734">
        <f>'Rail Relocation'!$R$5*VLOOKUP(I55,'Rail Relocation'!$M$5:$N$29,2)/'Rail Relocation'!$Q$5</f>
        <v>5.8999999999999999E-3</v>
      </c>
      <c r="U55" s="734">
        <f>'Rail Relocation'!$R$5*VLOOKUP(J55,'Rail Relocation'!$M$5:$N$29,2)/'Rail Relocation'!$Q$5</f>
        <v>1.2089380952380954E-2</v>
      </c>
      <c r="V55" s="734">
        <f>'Rail Relocation'!$R$5*VLOOKUP(K55,'Rail Relocation'!$M$5:$N$29,2)/'Rail Relocation'!$Q$5</f>
        <v>5.8999999999999999E-3</v>
      </c>
      <c r="W55" s="734">
        <f>'Rail Relocation'!$R$5*VLOOKUP(L55,'Rail Relocation'!$M$5:$N$29,2)/'Rail Relocation'!$Q$5</f>
        <v>7.3216190476190473E-3</v>
      </c>
      <c r="X55" s="734">
        <f>'Rail Relocation'!$R$5*VLOOKUP(M55,'Rail Relocation'!$M$5:$N$29,2)/'Rail Relocation'!$Q$5</f>
        <v>6.5911428571428579E-3</v>
      </c>
      <c r="Y55" s="734">
        <f>'Rail Relocation'!$R$5*VLOOKUP(N55,'Rail Relocation'!$M$5:$N$29,2)/'Rail Relocation'!$Q$5</f>
        <v>3.1129523809523807E-3</v>
      </c>
      <c r="Z55" s="734">
        <f>1/(1+'Rail Relocation'!$E$4*'Rail Relocation'!$E$5*'Rail Relocation'!$E$6*'Rail Relocation'!$E$7*'Rail Relocation'!$E$8)</f>
        <v>1.5575965260442358E-2</v>
      </c>
      <c r="AA55" s="734">
        <f>(1-Z55)/(1+'Rail Relocation'!$J$4*'Rail Relocation'!$J$5*'Rail Relocation'!$J$6*'Rail Relocation'!$J$7)</f>
        <v>0.22394818472438099</v>
      </c>
      <c r="AB55" s="734">
        <f t="shared" si="0"/>
        <v>0.7604758500151767</v>
      </c>
      <c r="AC55" s="960">
        <f t="shared" si="1"/>
        <v>1403.5203256113712</v>
      </c>
      <c r="AD55" s="960">
        <f t="shared" si="2"/>
        <v>1263.4914366401679</v>
      </c>
      <c r="AE55" s="960">
        <f t="shared" si="3"/>
        <v>1517.6977273878911</v>
      </c>
      <c r="AF55" s="960">
        <f t="shared" si="4"/>
        <v>1403.5203256113712</v>
      </c>
      <c r="AG55" s="960">
        <f t="shared" si="5"/>
        <v>1681.4238129542216</v>
      </c>
      <c r="AH55" s="960">
        <f t="shared" si="6"/>
        <v>1131.0025647674136</v>
      </c>
      <c r="AI55" s="960">
        <f t="shared" si="7"/>
        <v>2317.4781124734195</v>
      </c>
      <c r="AJ55" s="960">
        <f t="shared" si="8"/>
        <v>1131.0025647674136</v>
      </c>
      <c r="AK55" s="960">
        <f t="shared" si="9"/>
        <v>1403.5203256113712</v>
      </c>
      <c r="AL55" s="960">
        <f t="shared" si="10"/>
        <v>1263.4914366401679</v>
      </c>
      <c r="AM55" s="960">
        <f t="shared" si="11"/>
        <v>596.738496077283</v>
      </c>
      <c r="AN55" s="960">
        <f t="shared" si="12"/>
        <v>15112.887128542092</v>
      </c>
    </row>
    <row r="56" spans="2:40" ht="15" x14ac:dyDescent="0.25">
      <c r="B56" s="1016">
        <v>38</v>
      </c>
      <c r="C56" s="1017">
        <v>2057</v>
      </c>
      <c r="D56" s="1044">
        <f>D55*'Rates - Single'!$C$212</f>
        <v>8790</v>
      </c>
      <c r="E56" s="1044">
        <f>E55*'Rates - Single'!$C$212</f>
        <v>7940</v>
      </c>
      <c r="F56" s="1044">
        <f>F55*'Rates - Single'!$C$212</f>
        <v>12040</v>
      </c>
      <c r="G56" s="1044">
        <f>G55*'Rates - Single'!$C$212</f>
        <v>8260</v>
      </c>
      <c r="H56" s="1044">
        <f>H55*'Rates - Single'!$C$212</f>
        <v>17780</v>
      </c>
      <c r="I56" s="1044">
        <f>I55*'Rates - Single'!$C$212</f>
        <v>4720</v>
      </c>
      <c r="J56" s="1044">
        <f>J55*'Rates - Single'!$C$212</f>
        <v>41820</v>
      </c>
      <c r="K56" s="1044">
        <f>K55*'Rates - Single'!$C$212</f>
        <v>4040</v>
      </c>
      <c r="L56" s="1044">
        <f>L55*'Rates - Single'!$C$212</f>
        <v>8870</v>
      </c>
      <c r="M56" s="1044">
        <f>M55*'Rates - Single'!$C$212</f>
        <v>6130</v>
      </c>
      <c r="N56" s="1017">
        <v>500</v>
      </c>
      <c r="O56" s="734">
        <f>'Rail Relocation'!$R$5*VLOOKUP(D56,'Rail Relocation'!$M$5:$N$29,2)/'Rail Relocation'!$Q$5</f>
        <v>7.3216190476190473E-3</v>
      </c>
      <c r="P56" s="734">
        <f>'Rail Relocation'!$R$5*VLOOKUP(E56,'Rail Relocation'!$M$5:$N$29,2)/'Rail Relocation'!$Q$5</f>
        <v>6.5911428571428579E-3</v>
      </c>
      <c r="Q56" s="734">
        <f>'Rail Relocation'!$R$5*VLOOKUP(F56,'Rail Relocation'!$M$5:$N$29,2)/'Rail Relocation'!$Q$5</f>
        <v>7.9172380952380952E-3</v>
      </c>
      <c r="R56" s="734">
        <f>'Rail Relocation'!$R$5*VLOOKUP(G56,'Rail Relocation'!$M$5:$N$29,2)/'Rail Relocation'!$Q$5</f>
        <v>7.3216190476190473E-3</v>
      </c>
      <c r="S56" s="734">
        <f>'Rail Relocation'!$R$5*VLOOKUP(H56,'Rail Relocation'!$M$5:$N$29,2)/'Rail Relocation'!$Q$5</f>
        <v>8.7713333333333341E-3</v>
      </c>
      <c r="T56" s="734">
        <f>'Rail Relocation'!$R$5*VLOOKUP(I56,'Rail Relocation'!$M$5:$N$29,2)/'Rail Relocation'!$Q$5</f>
        <v>5.8999999999999999E-3</v>
      </c>
      <c r="U56" s="734">
        <f>'Rail Relocation'!$R$5*VLOOKUP(J56,'Rail Relocation'!$M$5:$N$29,2)/'Rail Relocation'!$Q$5</f>
        <v>1.2089380952380954E-2</v>
      </c>
      <c r="V56" s="734">
        <f>'Rail Relocation'!$R$5*VLOOKUP(K56,'Rail Relocation'!$M$5:$N$29,2)/'Rail Relocation'!$Q$5</f>
        <v>5.8999999999999999E-3</v>
      </c>
      <c r="W56" s="734">
        <f>'Rail Relocation'!$R$5*VLOOKUP(L56,'Rail Relocation'!$M$5:$N$29,2)/'Rail Relocation'!$Q$5</f>
        <v>7.3216190476190473E-3</v>
      </c>
      <c r="X56" s="734">
        <f>'Rail Relocation'!$R$5*VLOOKUP(M56,'Rail Relocation'!$M$5:$N$29,2)/'Rail Relocation'!$Q$5</f>
        <v>6.5911428571428579E-3</v>
      </c>
      <c r="Y56" s="734">
        <f>'Rail Relocation'!$R$5*VLOOKUP(N56,'Rail Relocation'!$M$5:$N$29,2)/'Rail Relocation'!$Q$5</f>
        <v>3.1129523809523807E-3</v>
      </c>
      <c r="Z56" s="734">
        <f>1/(1+'Rail Relocation'!$E$4*'Rail Relocation'!$E$5*'Rail Relocation'!$E$6*'Rail Relocation'!$E$7*'Rail Relocation'!$E$8)</f>
        <v>1.5575965260442358E-2</v>
      </c>
      <c r="AA56" s="734">
        <f>(1-Z56)/(1+'Rail Relocation'!$J$4*'Rail Relocation'!$J$5*'Rail Relocation'!$J$6*'Rail Relocation'!$J$7)</f>
        <v>0.22394818472438099</v>
      </c>
      <c r="AB56" s="734">
        <f t="shared" si="0"/>
        <v>0.7604758500151767</v>
      </c>
      <c r="AC56" s="960">
        <f t="shared" si="1"/>
        <v>1403.5203256113712</v>
      </c>
      <c r="AD56" s="960">
        <f t="shared" si="2"/>
        <v>1263.4914366401679</v>
      </c>
      <c r="AE56" s="960">
        <f t="shared" si="3"/>
        <v>1517.6977273878911</v>
      </c>
      <c r="AF56" s="960">
        <f t="shared" si="4"/>
        <v>1403.5203256113712</v>
      </c>
      <c r="AG56" s="960">
        <f t="shared" si="5"/>
        <v>1681.4238129542216</v>
      </c>
      <c r="AH56" s="960">
        <f t="shared" si="6"/>
        <v>1131.0025647674136</v>
      </c>
      <c r="AI56" s="960">
        <f t="shared" si="7"/>
        <v>2317.4781124734195</v>
      </c>
      <c r="AJ56" s="960">
        <f t="shared" si="8"/>
        <v>1131.0025647674136</v>
      </c>
      <c r="AK56" s="960">
        <f t="shared" si="9"/>
        <v>1403.5203256113712</v>
      </c>
      <c r="AL56" s="960">
        <f t="shared" si="10"/>
        <v>1263.4914366401679</v>
      </c>
      <c r="AM56" s="960">
        <f t="shared" si="11"/>
        <v>596.738496077283</v>
      </c>
      <c r="AN56" s="960">
        <f t="shared" si="12"/>
        <v>15112.887128542092</v>
      </c>
    </row>
    <row r="57" spans="2:40" ht="15" x14ac:dyDescent="0.25">
      <c r="B57" s="1016">
        <v>39</v>
      </c>
      <c r="C57" s="1017">
        <v>2058</v>
      </c>
      <c r="D57" s="1044">
        <f>D56*'Rates - Single'!$C$212</f>
        <v>8790</v>
      </c>
      <c r="E57" s="1044">
        <f>E56*'Rates - Single'!$C$212</f>
        <v>7940</v>
      </c>
      <c r="F57" s="1044">
        <f>F56*'Rates - Single'!$C$212</f>
        <v>12040</v>
      </c>
      <c r="G57" s="1044">
        <f>G56*'Rates - Single'!$C$212</f>
        <v>8260</v>
      </c>
      <c r="H57" s="1044">
        <f>H56*'Rates - Single'!$C$212</f>
        <v>17780</v>
      </c>
      <c r="I57" s="1044">
        <f>I56*'Rates - Single'!$C$212</f>
        <v>4720</v>
      </c>
      <c r="J57" s="1044">
        <f>J56*'Rates - Single'!$C$212</f>
        <v>41820</v>
      </c>
      <c r="K57" s="1044">
        <f>K56*'Rates - Single'!$C$212</f>
        <v>4040</v>
      </c>
      <c r="L57" s="1044">
        <f>L56*'Rates - Single'!$C$212</f>
        <v>8870</v>
      </c>
      <c r="M57" s="1044">
        <f>M56*'Rates - Single'!$C$212</f>
        <v>6130</v>
      </c>
      <c r="N57" s="1017">
        <v>500</v>
      </c>
      <c r="O57" s="734">
        <f>'Rail Relocation'!$R$5*VLOOKUP(D57,'Rail Relocation'!$M$5:$N$29,2)/'Rail Relocation'!$Q$5</f>
        <v>7.3216190476190473E-3</v>
      </c>
      <c r="P57" s="734">
        <f>'Rail Relocation'!$R$5*VLOOKUP(E57,'Rail Relocation'!$M$5:$N$29,2)/'Rail Relocation'!$Q$5</f>
        <v>6.5911428571428579E-3</v>
      </c>
      <c r="Q57" s="734">
        <f>'Rail Relocation'!$R$5*VLOOKUP(F57,'Rail Relocation'!$M$5:$N$29,2)/'Rail Relocation'!$Q$5</f>
        <v>7.9172380952380952E-3</v>
      </c>
      <c r="R57" s="734">
        <f>'Rail Relocation'!$R$5*VLOOKUP(G57,'Rail Relocation'!$M$5:$N$29,2)/'Rail Relocation'!$Q$5</f>
        <v>7.3216190476190473E-3</v>
      </c>
      <c r="S57" s="734">
        <f>'Rail Relocation'!$R$5*VLOOKUP(H57,'Rail Relocation'!$M$5:$N$29,2)/'Rail Relocation'!$Q$5</f>
        <v>8.7713333333333341E-3</v>
      </c>
      <c r="T57" s="734">
        <f>'Rail Relocation'!$R$5*VLOOKUP(I57,'Rail Relocation'!$M$5:$N$29,2)/'Rail Relocation'!$Q$5</f>
        <v>5.8999999999999999E-3</v>
      </c>
      <c r="U57" s="734">
        <f>'Rail Relocation'!$R$5*VLOOKUP(J57,'Rail Relocation'!$M$5:$N$29,2)/'Rail Relocation'!$Q$5</f>
        <v>1.2089380952380954E-2</v>
      </c>
      <c r="V57" s="734">
        <f>'Rail Relocation'!$R$5*VLOOKUP(K57,'Rail Relocation'!$M$5:$N$29,2)/'Rail Relocation'!$Q$5</f>
        <v>5.8999999999999999E-3</v>
      </c>
      <c r="W57" s="734">
        <f>'Rail Relocation'!$R$5*VLOOKUP(L57,'Rail Relocation'!$M$5:$N$29,2)/'Rail Relocation'!$Q$5</f>
        <v>7.3216190476190473E-3</v>
      </c>
      <c r="X57" s="734">
        <f>'Rail Relocation'!$R$5*VLOOKUP(M57,'Rail Relocation'!$M$5:$N$29,2)/'Rail Relocation'!$Q$5</f>
        <v>6.5911428571428579E-3</v>
      </c>
      <c r="Y57" s="734">
        <f>'Rail Relocation'!$R$5*VLOOKUP(N57,'Rail Relocation'!$M$5:$N$29,2)/'Rail Relocation'!$Q$5</f>
        <v>3.1129523809523807E-3</v>
      </c>
      <c r="Z57" s="734">
        <f>1/(1+'Rail Relocation'!$E$4*'Rail Relocation'!$E$5*'Rail Relocation'!$E$6*'Rail Relocation'!$E$7*'Rail Relocation'!$E$8)</f>
        <v>1.5575965260442358E-2</v>
      </c>
      <c r="AA57" s="734">
        <f>(1-Z57)/(1+'Rail Relocation'!$J$4*'Rail Relocation'!$J$5*'Rail Relocation'!$J$6*'Rail Relocation'!$J$7)</f>
        <v>0.22394818472438099</v>
      </c>
      <c r="AB57" s="734">
        <f t="shared" si="0"/>
        <v>0.7604758500151767</v>
      </c>
      <c r="AC57" s="960">
        <f t="shared" si="1"/>
        <v>1403.5203256113712</v>
      </c>
      <c r="AD57" s="960">
        <f t="shared" si="2"/>
        <v>1263.4914366401679</v>
      </c>
      <c r="AE57" s="960">
        <f t="shared" si="3"/>
        <v>1517.6977273878911</v>
      </c>
      <c r="AF57" s="960">
        <f t="shared" si="4"/>
        <v>1403.5203256113712</v>
      </c>
      <c r="AG57" s="960">
        <f t="shared" si="5"/>
        <v>1681.4238129542216</v>
      </c>
      <c r="AH57" s="960">
        <f t="shared" si="6"/>
        <v>1131.0025647674136</v>
      </c>
      <c r="AI57" s="960">
        <f t="shared" si="7"/>
        <v>2317.4781124734195</v>
      </c>
      <c r="AJ57" s="960">
        <f t="shared" si="8"/>
        <v>1131.0025647674136</v>
      </c>
      <c r="AK57" s="960">
        <f t="shared" si="9"/>
        <v>1403.5203256113712</v>
      </c>
      <c r="AL57" s="960">
        <f t="shared" si="10"/>
        <v>1263.4914366401679</v>
      </c>
      <c r="AM57" s="960">
        <f t="shared" si="11"/>
        <v>596.738496077283</v>
      </c>
      <c r="AN57" s="960">
        <f t="shared" si="12"/>
        <v>15112.887128542092</v>
      </c>
    </row>
    <row r="58" spans="2:40" ht="15" x14ac:dyDescent="0.25">
      <c r="B58" s="1016">
        <v>40</v>
      </c>
      <c r="C58" s="1017">
        <v>2059</v>
      </c>
      <c r="D58" s="1044">
        <f>D57*'Rates - Single'!$C$212</f>
        <v>8790</v>
      </c>
      <c r="E58" s="1044">
        <f>E57*'Rates - Single'!$C$212</f>
        <v>7940</v>
      </c>
      <c r="F58" s="1044">
        <f>F57*'Rates - Single'!$C$212</f>
        <v>12040</v>
      </c>
      <c r="G58" s="1044">
        <f>G57*'Rates - Single'!$C$212</f>
        <v>8260</v>
      </c>
      <c r="H58" s="1044">
        <f>H57*'Rates - Single'!$C$212</f>
        <v>17780</v>
      </c>
      <c r="I58" s="1044">
        <f>I57*'Rates - Single'!$C$212</f>
        <v>4720</v>
      </c>
      <c r="J58" s="1044">
        <f>J57*'Rates - Single'!$C$212</f>
        <v>41820</v>
      </c>
      <c r="K58" s="1044">
        <f>K57*'Rates - Single'!$C$212</f>
        <v>4040</v>
      </c>
      <c r="L58" s="1044">
        <f>L57*'Rates - Single'!$C$212</f>
        <v>8870</v>
      </c>
      <c r="M58" s="1044">
        <f>M57*'Rates - Single'!$C$212</f>
        <v>6130</v>
      </c>
      <c r="N58" s="1017">
        <v>500</v>
      </c>
      <c r="O58" s="1093">
        <f>'Rail Relocation'!$R$5*VLOOKUP(D58,'Rail Relocation'!$M$5:$N$29,2)/'Rail Relocation'!$Q$5</f>
        <v>7.3216190476190473E-3</v>
      </c>
      <c r="P58" s="1093">
        <f>'Rail Relocation'!$R$5*VLOOKUP(E58,'Rail Relocation'!$M$5:$N$29,2)/'Rail Relocation'!$Q$5</f>
        <v>6.5911428571428579E-3</v>
      </c>
      <c r="Q58" s="1093">
        <f>'Rail Relocation'!$R$5*VLOOKUP(F58,'Rail Relocation'!$M$5:$N$29,2)/'Rail Relocation'!$Q$5</f>
        <v>7.9172380952380952E-3</v>
      </c>
      <c r="R58" s="1093">
        <f>'Rail Relocation'!$R$5*VLOOKUP(G58,'Rail Relocation'!$M$5:$N$29,2)/'Rail Relocation'!$Q$5</f>
        <v>7.3216190476190473E-3</v>
      </c>
      <c r="S58" s="1093">
        <f>'Rail Relocation'!$R$5*VLOOKUP(H58,'Rail Relocation'!$M$5:$N$29,2)/'Rail Relocation'!$Q$5</f>
        <v>8.7713333333333341E-3</v>
      </c>
      <c r="T58" s="1093">
        <f>'Rail Relocation'!$R$5*VLOOKUP(I58,'Rail Relocation'!$M$5:$N$29,2)/'Rail Relocation'!$Q$5</f>
        <v>5.8999999999999999E-3</v>
      </c>
      <c r="U58" s="1093">
        <f>'Rail Relocation'!$R$5*VLOOKUP(J58,'Rail Relocation'!$M$5:$N$29,2)/'Rail Relocation'!$Q$5</f>
        <v>1.2089380952380954E-2</v>
      </c>
      <c r="V58" s="1093">
        <f>'Rail Relocation'!$R$5*VLOOKUP(K58,'Rail Relocation'!$M$5:$N$29,2)/'Rail Relocation'!$Q$5</f>
        <v>5.8999999999999999E-3</v>
      </c>
      <c r="W58" s="1093">
        <f>'Rail Relocation'!$R$5*VLOOKUP(L58,'Rail Relocation'!$M$5:$N$29,2)/'Rail Relocation'!$Q$5</f>
        <v>7.3216190476190473E-3</v>
      </c>
      <c r="X58" s="1093">
        <f>'Rail Relocation'!$R$5*VLOOKUP(M58,'Rail Relocation'!$M$5:$N$29,2)/'Rail Relocation'!$Q$5</f>
        <v>6.5911428571428579E-3</v>
      </c>
      <c r="Y58" s="1093">
        <f>'Rail Relocation'!$R$5*VLOOKUP(N58,'Rail Relocation'!$M$5:$N$29,2)/'Rail Relocation'!$Q$5</f>
        <v>3.1129523809523807E-3</v>
      </c>
      <c r="Z58" s="1093">
        <f>1/(1+'Rail Relocation'!$E$4*'Rail Relocation'!$E$5*'Rail Relocation'!$E$6*'Rail Relocation'!$E$7*'Rail Relocation'!$E$8)</f>
        <v>1.5575965260442358E-2</v>
      </c>
      <c r="AA58" s="1093">
        <f>(1-Z58)/(1+'Rail Relocation'!$J$4*'Rail Relocation'!$J$5*'Rail Relocation'!$J$6*'Rail Relocation'!$J$7)</f>
        <v>0.22394818472438099</v>
      </c>
      <c r="AB58" s="1093">
        <f t="shared" si="0"/>
        <v>0.7604758500151767</v>
      </c>
      <c r="AC58" s="1094">
        <f t="shared" si="1"/>
        <v>1403.5203256113712</v>
      </c>
      <c r="AD58" s="1094">
        <f t="shared" si="2"/>
        <v>1263.4914366401679</v>
      </c>
      <c r="AE58" s="1094">
        <f t="shared" si="3"/>
        <v>1517.6977273878911</v>
      </c>
      <c r="AF58" s="1094">
        <f t="shared" si="4"/>
        <v>1403.5203256113712</v>
      </c>
      <c r="AG58" s="1094">
        <f t="shared" si="5"/>
        <v>1681.4238129542216</v>
      </c>
      <c r="AH58" s="1094">
        <f t="shared" si="6"/>
        <v>1131.0025647674136</v>
      </c>
      <c r="AI58" s="1094">
        <f t="shared" si="7"/>
        <v>2317.4781124734195</v>
      </c>
      <c r="AJ58" s="1094">
        <f t="shared" si="8"/>
        <v>1131.0025647674136</v>
      </c>
      <c r="AK58" s="1094">
        <f t="shared" si="9"/>
        <v>1403.5203256113712</v>
      </c>
      <c r="AL58" s="1094">
        <f t="shared" si="10"/>
        <v>1263.4914366401679</v>
      </c>
      <c r="AM58" s="1094">
        <f t="shared" si="11"/>
        <v>596.738496077283</v>
      </c>
      <c r="AN58" s="1094">
        <f t="shared" si="12"/>
        <v>15112.887128542092</v>
      </c>
    </row>
    <row r="59" spans="2:40" ht="15" x14ac:dyDescent="0.25">
      <c r="B59" s="1016">
        <v>41</v>
      </c>
      <c r="C59" s="1017">
        <v>2060</v>
      </c>
      <c r="D59" s="1044">
        <f>D58*'Rates - Single'!$C$212</f>
        <v>8790</v>
      </c>
      <c r="E59" s="1044">
        <f>E58*'Rates - Single'!$C$212</f>
        <v>7940</v>
      </c>
      <c r="F59" s="1044">
        <f>F58*'Rates - Single'!$C$212</f>
        <v>12040</v>
      </c>
      <c r="G59" s="1044">
        <f>G58*'Rates - Single'!$C$212</f>
        <v>8260</v>
      </c>
      <c r="H59" s="1044">
        <f>H58*'Rates - Single'!$C$212</f>
        <v>17780</v>
      </c>
      <c r="I59" s="1044">
        <f>I58*'Rates - Single'!$C$212</f>
        <v>4720</v>
      </c>
      <c r="J59" s="1044">
        <f>J58*'Rates - Single'!$C$212</f>
        <v>41820</v>
      </c>
      <c r="K59" s="1044">
        <f>K58*'Rates - Single'!$C$212</f>
        <v>4040</v>
      </c>
      <c r="L59" s="1044">
        <f>L58*'Rates - Single'!$C$212</f>
        <v>8870</v>
      </c>
      <c r="M59" s="1044">
        <f>M58*'Rates - Single'!$C$212</f>
        <v>6130</v>
      </c>
      <c r="N59" s="1017">
        <v>500</v>
      </c>
      <c r="O59" s="734">
        <f>'Rail Relocation'!$R$5*VLOOKUP(D59,'Rail Relocation'!$M$5:$N$29,2)/'Rail Relocation'!$Q$5</f>
        <v>7.3216190476190473E-3</v>
      </c>
      <c r="P59" s="734">
        <f>'Rail Relocation'!$R$5*VLOOKUP(E59,'Rail Relocation'!$M$5:$N$29,2)/'Rail Relocation'!$Q$5</f>
        <v>6.5911428571428579E-3</v>
      </c>
      <c r="Q59" s="734">
        <f>'Rail Relocation'!$R$5*VLOOKUP(F59,'Rail Relocation'!$M$5:$N$29,2)/'Rail Relocation'!$Q$5</f>
        <v>7.9172380952380952E-3</v>
      </c>
      <c r="R59" s="734">
        <f>'Rail Relocation'!$R$5*VLOOKUP(G59,'Rail Relocation'!$M$5:$N$29,2)/'Rail Relocation'!$Q$5</f>
        <v>7.3216190476190473E-3</v>
      </c>
      <c r="S59" s="734">
        <f>'Rail Relocation'!$R$5*VLOOKUP(H59,'Rail Relocation'!$M$5:$N$29,2)/'Rail Relocation'!$Q$5</f>
        <v>8.7713333333333341E-3</v>
      </c>
      <c r="T59" s="734">
        <f>'Rail Relocation'!$R$5*VLOOKUP(I59,'Rail Relocation'!$M$5:$N$29,2)/'Rail Relocation'!$Q$5</f>
        <v>5.8999999999999999E-3</v>
      </c>
      <c r="U59" s="734">
        <f>'Rail Relocation'!$R$5*VLOOKUP(J59,'Rail Relocation'!$M$5:$N$29,2)/'Rail Relocation'!$Q$5</f>
        <v>1.2089380952380954E-2</v>
      </c>
      <c r="V59" s="734">
        <f>'Rail Relocation'!$R$5*VLOOKUP(K59,'Rail Relocation'!$M$5:$N$29,2)/'Rail Relocation'!$Q$5</f>
        <v>5.8999999999999999E-3</v>
      </c>
      <c r="W59" s="734">
        <f>'Rail Relocation'!$R$5*VLOOKUP(L59,'Rail Relocation'!$M$5:$N$29,2)/'Rail Relocation'!$Q$5</f>
        <v>7.3216190476190473E-3</v>
      </c>
      <c r="X59" s="734">
        <f>'Rail Relocation'!$R$5*VLOOKUP(M59,'Rail Relocation'!$M$5:$N$29,2)/'Rail Relocation'!$Q$5</f>
        <v>6.5911428571428579E-3</v>
      </c>
      <c r="Y59" s="734">
        <f>'Rail Relocation'!$R$5*VLOOKUP(N59,'Rail Relocation'!$M$5:$N$29,2)/'Rail Relocation'!$Q$5</f>
        <v>3.1129523809523807E-3</v>
      </c>
      <c r="Z59" s="734">
        <f>1/(1+'Rail Relocation'!$E$4*'Rail Relocation'!$E$5*'Rail Relocation'!$E$6*'Rail Relocation'!$E$7*'Rail Relocation'!$E$8)</f>
        <v>1.5575965260442358E-2</v>
      </c>
      <c r="AA59" s="734">
        <f>(1-Z59)/(1+'Rail Relocation'!$J$4*'Rail Relocation'!$J$5*'Rail Relocation'!$J$6*'Rail Relocation'!$J$7)</f>
        <v>0.22394818472438099</v>
      </c>
      <c r="AB59" s="734">
        <f t="shared" ref="AB59:AB60" si="38">1-AA59-Z59</f>
        <v>0.7604758500151767</v>
      </c>
      <c r="AC59" s="960">
        <f t="shared" ref="AC59:AC60" si="39">O59*$Z59*$D$7+O59*$AA59*$D$11+O59*$AB59*$D$12</f>
        <v>1403.5203256113712</v>
      </c>
      <c r="AD59" s="960">
        <f t="shared" ref="AD59:AD60" si="40">P59*$Z59*$D$7+P59*$AA59*$D$11+P59*$AB59*$D$12</f>
        <v>1263.4914366401679</v>
      </c>
      <c r="AE59" s="960">
        <f t="shared" ref="AE59:AE60" si="41">Q59*$Z59*$D$7+Q59*$AA59*$D$11+Q59*$AB59*$D$12</f>
        <v>1517.6977273878911</v>
      </c>
      <c r="AF59" s="960">
        <f t="shared" ref="AF59:AF60" si="42">R59*$Z59*$D$7+R59*$AA59*$D$11+R59*$AB59*$D$12</f>
        <v>1403.5203256113712</v>
      </c>
      <c r="AG59" s="960">
        <f t="shared" ref="AG59:AG60" si="43">S59*$Z59*$D$7+S59*$AA59*$D$11+S59*$AB59*$D$12</f>
        <v>1681.4238129542216</v>
      </c>
      <c r="AH59" s="960">
        <f t="shared" ref="AH59:AH60" si="44">T59*$Z59*$D$7+T59*$AA59*$D$11+T59*$AB59*$D$12</f>
        <v>1131.0025647674136</v>
      </c>
      <c r="AI59" s="960">
        <f t="shared" ref="AI59:AI60" si="45">U59*$Z59*$D$7+U59*$AA59*$D$11+U59*$AB59*$D$12</f>
        <v>2317.4781124734195</v>
      </c>
      <c r="AJ59" s="960">
        <f t="shared" ref="AJ59:AJ60" si="46">V59*$Z59*$D$7+V59*$AA59*$D$11+V59*$AB59*$D$12</f>
        <v>1131.0025647674136</v>
      </c>
      <c r="AK59" s="960">
        <f t="shared" ref="AK59:AK60" si="47">W59*$Z59*$D$7+W59*$AA59*$D$11+W59*$AB59*$D$12</f>
        <v>1403.5203256113712</v>
      </c>
      <c r="AL59" s="960">
        <f t="shared" ref="AL59:AL60" si="48">X59*$Z59*$D$7+X59*$AA59*$D$11+X59*$AB59*$D$12</f>
        <v>1263.4914366401679</v>
      </c>
      <c r="AM59" s="960">
        <f t="shared" ref="AM59:AM60" si="49">Y59*$Z59*$D$7+Y59*$AA59*$D$11+Y59*$AB59*$D$12</f>
        <v>596.738496077283</v>
      </c>
      <c r="AN59" s="960">
        <f t="shared" ref="AN59:AN60" si="50">SUM(AC59:AM59)</f>
        <v>15112.887128542092</v>
      </c>
    </row>
    <row r="60" spans="2:40" ht="15.75" thickBot="1" x14ac:dyDescent="0.3">
      <c r="B60" s="1020">
        <v>42</v>
      </c>
      <c r="C60" s="1021">
        <v>2061</v>
      </c>
      <c r="D60" s="1045">
        <f>D59*'Rates - Single'!$C$212</f>
        <v>8790</v>
      </c>
      <c r="E60" s="1045">
        <f>E59*'Rates - Single'!$C$212</f>
        <v>7940</v>
      </c>
      <c r="F60" s="1045">
        <f>F59*'Rates - Single'!$C$212</f>
        <v>12040</v>
      </c>
      <c r="G60" s="1045">
        <f>G59*'Rates - Single'!$C$212</f>
        <v>8260</v>
      </c>
      <c r="H60" s="1045">
        <f>H59*'Rates - Single'!$C$212</f>
        <v>17780</v>
      </c>
      <c r="I60" s="1045">
        <f>I59*'Rates - Single'!$C$212</f>
        <v>4720</v>
      </c>
      <c r="J60" s="1045">
        <f>J59*'Rates - Single'!$C$212</f>
        <v>41820</v>
      </c>
      <c r="K60" s="1045">
        <f>K59*'Rates - Single'!$C$212</f>
        <v>4040</v>
      </c>
      <c r="L60" s="1045">
        <f>L59*'Rates - Single'!$C$212</f>
        <v>8870</v>
      </c>
      <c r="M60" s="1045">
        <f>M59*'Rates - Single'!$C$212</f>
        <v>6130</v>
      </c>
      <c r="N60" s="1021">
        <v>500</v>
      </c>
      <c r="O60" s="961">
        <f>'Rail Relocation'!$R$5*VLOOKUP(D60,'Rail Relocation'!$M$5:$N$29,2)/'Rail Relocation'!$Q$5</f>
        <v>7.3216190476190473E-3</v>
      </c>
      <c r="P60" s="961">
        <f>'Rail Relocation'!$R$5*VLOOKUP(E60,'Rail Relocation'!$M$5:$N$29,2)/'Rail Relocation'!$Q$5</f>
        <v>6.5911428571428579E-3</v>
      </c>
      <c r="Q60" s="961">
        <f>'Rail Relocation'!$R$5*VLOOKUP(F60,'Rail Relocation'!$M$5:$N$29,2)/'Rail Relocation'!$Q$5</f>
        <v>7.9172380952380952E-3</v>
      </c>
      <c r="R60" s="961">
        <f>'Rail Relocation'!$R$5*VLOOKUP(G60,'Rail Relocation'!$M$5:$N$29,2)/'Rail Relocation'!$Q$5</f>
        <v>7.3216190476190473E-3</v>
      </c>
      <c r="S60" s="961">
        <f>'Rail Relocation'!$R$5*VLOOKUP(H60,'Rail Relocation'!$M$5:$N$29,2)/'Rail Relocation'!$Q$5</f>
        <v>8.7713333333333341E-3</v>
      </c>
      <c r="T60" s="961">
        <f>'Rail Relocation'!$R$5*VLOOKUP(I60,'Rail Relocation'!$M$5:$N$29,2)/'Rail Relocation'!$Q$5</f>
        <v>5.8999999999999999E-3</v>
      </c>
      <c r="U60" s="961">
        <f>'Rail Relocation'!$R$5*VLOOKUP(J60,'Rail Relocation'!$M$5:$N$29,2)/'Rail Relocation'!$Q$5</f>
        <v>1.2089380952380954E-2</v>
      </c>
      <c r="V60" s="961">
        <f>'Rail Relocation'!$R$5*VLOOKUP(K60,'Rail Relocation'!$M$5:$N$29,2)/'Rail Relocation'!$Q$5</f>
        <v>5.8999999999999999E-3</v>
      </c>
      <c r="W60" s="961">
        <f>'Rail Relocation'!$R$5*VLOOKUP(L60,'Rail Relocation'!$M$5:$N$29,2)/'Rail Relocation'!$Q$5</f>
        <v>7.3216190476190473E-3</v>
      </c>
      <c r="X60" s="961">
        <f>'Rail Relocation'!$R$5*VLOOKUP(M60,'Rail Relocation'!$M$5:$N$29,2)/'Rail Relocation'!$Q$5</f>
        <v>6.5911428571428579E-3</v>
      </c>
      <c r="Y60" s="961">
        <f>'Rail Relocation'!$R$5*VLOOKUP(N60,'Rail Relocation'!$M$5:$N$29,2)/'Rail Relocation'!$Q$5</f>
        <v>3.1129523809523807E-3</v>
      </c>
      <c r="Z60" s="961">
        <f>1/(1+'Rail Relocation'!$E$4*'Rail Relocation'!$E$5*'Rail Relocation'!$E$6*'Rail Relocation'!$E$7*'Rail Relocation'!$E$8)</f>
        <v>1.5575965260442358E-2</v>
      </c>
      <c r="AA60" s="961">
        <f>(1-Z60)/(1+'Rail Relocation'!$J$4*'Rail Relocation'!$J$5*'Rail Relocation'!$J$6*'Rail Relocation'!$J$7)</f>
        <v>0.22394818472438099</v>
      </c>
      <c r="AB60" s="961">
        <f t="shared" si="38"/>
        <v>0.7604758500151767</v>
      </c>
      <c r="AC60" s="962">
        <f t="shared" si="39"/>
        <v>1403.5203256113712</v>
      </c>
      <c r="AD60" s="962">
        <f t="shared" si="40"/>
        <v>1263.4914366401679</v>
      </c>
      <c r="AE60" s="962">
        <f t="shared" si="41"/>
        <v>1517.6977273878911</v>
      </c>
      <c r="AF60" s="962">
        <f t="shared" si="42"/>
        <v>1403.5203256113712</v>
      </c>
      <c r="AG60" s="962">
        <f t="shared" si="43"/>
        <v>1681.4238129542216</v>
      </c>
      <c r="AH60" s="962">
        <f t="shared" si="44"/>
        <v>1131.0025647674136</v>
      </c>
      <c r="AI60" s="962">
        <f t="shared" si="45"/>
        <v>2317.4781124734195</v>
      </c>
      <c r="AJ60" s="962">
        <f t="shared" si="46"/>
        <v>1131.0025647674136</v>
      </c>
      <c r="AK60" s="962">
        <f t="shared" si="47"/>
        <v>1403.5203256113712</v>
      </c>
      <c r="AL60" s="962">
        <f t="shared" si="48"/>
        <v>1263.4914366401679</v>
      </c>
      <c r="AM60" s="962">
        <f t="shared" si="49"/>
        <v>596.738496077283</v>
      </c>
      <c r="AN60" s="962">
        <f t="shared" si="50"/>
        <v>15112.887128542092</v>
      </c>
    </row>
    <row r="61" spans="2:40" ht="13.5" thickTop="1" x14ac:dyDescent="0.25"/>
    <row r="64" spans="2:40" x14ac:dyDescent="0.25">
      <c r="G64" s="391" t="s">
        <v>475</v>
      </c>
    </row>
  </sheetData>
  <mergeCells count="13">
    <mergeCell ref="AN16:AN17"/>
    <mergeCell ref="D16:N16"/>
    <mergeCell ref="O16:Y16"/>
    <mergeCell ref="Z16:Z17"/>
    <mergeCell ref="AA16:AA17"/>
    <mergeCell ref="AB16:AB17"/>
    <mergeCell ref="AC16:AM16"/>
    <mergeCell ref="F6:H6"/>
    <mergeCell ref="I6:J6"/>
    <mergeCell ref="B16:B17"/>
    <mergeCell ref="C16:C17"/>
    <mergeCell ref="B6:C6"/>
    <mergeCell ref="B13:C1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B2:AV19"/>
  <sheetViews>
    <sheetView showGridLines="0" zoomScale="85" zoomScaleNormal="85" workbookViewId="0">
      <pane ySplit="4" topLeftCell="A5" activePane="bottomLeft" state="frozen"/>
      <selection activeCell="A5" sqref="A5"/>
      <selection pane="bottomLeft" activeCell="C30" sqref="C30"/>
    </sheetView>
  </sheetViews>
  <sheetFormatPr defaultRowHeight="12.75" x14ac:dyDescent="0.25"/>
  <cols>
    <col min="1" max="1" width="3.42578125" style="1" customWidth="1"/>
    <col min="2" max="2" width="46.5703125" style="1" customWidth="1"/>
    <col min="3" max="3" width="16.42578125" style="1" customWidth="1"/>
    <col min="4" max="4" width="13" style="1" customWidth="1"/>
    <col min="5" max="5" width="20.7109375" style="1" customWidth="1"/>
    <col min="6" max="6" width="4.5703125" style="1" customWidth="1"/>
    <col min="7" max="9" width="10.7109375" style="1" customWidth="1"/>
    <col min="10" max="10" width="11.5703125" style="1" bestFit="1" customWidth="1"/>
    <col min="11" max="17" width="12.42578125" style="1" customWidth="1"/>
    <col min="18" max="38" width="10.7109375" style="1" customWidth="1"/>
    <col min="39" max="39" width="18.42578125" style="1" customWidth="1"/>
    <col min="40" max="16384" width="9.140625" style="1"/>
  </cols>
  <sheetData>
    <row r="2" spans="2:48" ht="18" x14ac:dyDescent="0.25">
      <c r="B2" s="46" t="str">
        <f>"Benefit Calculations for "&amp;'About the Spreadsheet Tabs'!$B$3</f>
        <v>Benefit Calculations for Benefit-Cost Assessment Spreadsheet for Access I-95: Driving Baltimore's City Development</v>
      </c>
      <c r="F2" s="7"/>
      <c r="AS2" s="7"/>
    </row>
    <row r="3" spans="2:48" ht="13.5" thickBot="1" x14ac:dyDescent="0.3">
      <c r="B3" s="7"/>
    </row>
    <row r="4" spans="2:48" ht="36.75" customHeight="1" thickBot="1" x14ac:dyDescent="0.3">
      <c r="B4" s="3" t="s">
        <v>0</v>
      </c>
      <c r="C4" s="204" t="s">
        <v>110</v>
      </c>
      <c r="D4" s="4" t="s">
        <v>1</v>
      </c>
      <c r="E4" s="5" t="s">
        <v>3</v>
      </c>
      <c r="G4" s="6">
        <v>2015</v>
      </c>
      <c r="H4" s="6">
        <v>2016</v>
      </c>
      <c r="I4" s="6">
        <v>2017</v>
      </c>
      <c r="J4" s="6">
        <v>2018</v>
      </c>
      <c r="K4" s="6">
        <v>2019</v>
      </c>
      <c r="L4" s="6">
        <v>2020</v>
      </c>
      <c r="M4" s="6">
        <v>2021</v>
      </c>
      <c r="N4" s="6">
        <v>2022</v>
      </c>
      <c r="O4" s="6">
        <v>2023</v>
      </c>
      <c r="P4" s="6">
        <v>2024</v>
      </c>
      <c r="Q4" s="6">
        <v>2025</v>
      </c>
      <c r="R4" s="6">
        <v>2026</v>
      </c>
      <c r="S4" s="6">
        <v>2027</v>
      </c>
      <c r="T4" s="6">
        <v>2028</v>
      </c>
      <c r="U4" s="6">
        <v>2029</v>
      </c>
      <c r="V4" s="6">
        <v>2030</v>
      </c>
      <c r="W4" s="6">
        <v>2031</v>
      </c>
      <c r="X4" s="6">
        <v>2032</v>
      </c>
      <c r="Y4" s="6">
        <v>2033</v>
      </c>
      <c r="Z4" s="6">
        <v>2034</v>
      </c>
      <c r="AA4" s="6">
        <v>2035</v>
      </c>
      <c r="AB4" s="6">
        <v>2036</v>
      </c>
      <c r="AC4" s="6">
        <v>2037</v>
      </c>
      <c r="AD4" s="6">
        <v>2038</v>
      </c>
      <c r="AE4" s="6">
        <v>2039</v>
      </c>
      <c r="AF4" s="6">
        <v>2040</v>
      </c>
      <c r="AG4" s="6">
        <v>2041</v>
      </c>
      <c r="AH4" s="6">
        <v>2042</v>
      </c>
      <c r="AI4" s="6">
        <v>2043</v>
      </c>
      <c r="AJ4" s="6">
        <v>2044</v>
      </c>
      <c r="AK4" s="6">
        <v>2045</v>
      </c>
      <c r="AL4" s="6">
        <v>2046</v>
      </c>
    </row>
    <row r="5" spans="2:48" x14ac:dyDescent="0.25">
      <c r="F5" s="7"/>
    </row>
    <row r="6" spans="2:48" ht="13.5" thickBot="1" x14ac:dyDescent="0.3"/>
    <row r="7" spans="2:48" ht="16.5" thickBot="1" x14ac:dyDescent="0.3">
      <c r="B7" s="8" t="s">
        <v>48</v>
      </c>
      <c r="C7" s="51"/>
      <c r="D7" s="51"/>
      <c r="E7" s="52"/>
    </row>
    <row r="8" spans="2:48" x14ac:dyDescent="0.25">
      <c r="B8" s="54"/>
      <c r="C8" s="55"/>
      <c r="D8" s="55"/>
      <c r="E8" s="63"/>
    </row>
    <row r="9" spans="2:48" s="772" customFormat="1" ht="15" x14ac:dyDescent="0.25">
      <c r="B9" s="771" t="s">
        <v>84</v>
      </c>
      <c r="C9" s="773"/>
      <c r="D9" s="773"/>
      <c r="E9" s="774"/>
    </row>
    <row r="10" spans="2:48" s="772" customFormat="1" ht="15" x14ac:dyDescent="0.25">
      <c r="B10" s="771" t="s">
        <v>35</v>
      </c>
      <c r="C10" s="775">
        <f>'Rates - Single'!E199</f>
        <v>76900</v>
      </c>
      <c r="D10" s="773" t="s">
        <v>34</v>
      </c>
      <c r="E10" s="774" t="s">
        <v>460</v>
      </c>
    </row>
    <row r="11" spans="2:48" s="772" customFormat="1" ht="15" x14ac:dyDescent="0.25">
      <c r="B11" s="771" t="s">
        <v>38</v>
      </c>
      <c r="C11" s="775">
        <f>'Costs Summary '!C15</f>
        <v>183289000</v>
      </c>
      <c r="D11" s="773" t="s">
        <v>2</v>
      </c>
      <c r="E11" s="776" t="s">
        <v>461</v>
      </c>
      <c r="G11" s="777"/>
      <c r="H11" s="777"/>
      <c r="I11" s="777">
        <f>'Costs Summary '!G28</f>
        <v>1691333.3333333333</v>
      </c>
      <c r="J11" s="777">
        <f>'Costs Summary '!H28</f>
        <v>1691333.3333333333</v>
      </c>
      <c r="K11" s="777">
        <f>'Costs Summary '!I28</f>
        <v>8179666.666666667</v>
      </c>
      <c r="L11" s="777">
        <f>'Costs Summary '!J28</f>
        <v>91318566.972243443</v>
      </c>
      <c r="M11" s="777">
        <f>'Costs Summary '!K28</f>
        <v>71786174.560733393</v>
      </c>
      <c r="N11" s="777">
        <f>'Costs Summary '!L28</f>
        <v>8621925.1336898394</v>
      </c>
      <c r="O11" s="777">
        <f>'Costs Summary '!M28</f>
        <v>183289000.00000003</v>
      </c>
      <c r="P11" s="777"/>
      <c r="Q11" s="777"/>
      <c r="R11" s="777"/>
      <c r="S11" s="777"/>
      <c r="T11" s="777"/>
      <c r="U11" s="777"/>
      <c r="V11" s="777"/>
      <c r="W11" s="777"/>
      <c r="X11" s="777"/>
      <c r="Y11" s="777"/>
      <c r="Z11" s="777"/>
      <c r="AA11" s="777"/>
      <c r="AB11" s="777"/>
      <c r="AC11" s="777"/>
      <c r="AD11" s="777"/>
      <c r="AE11" s="777"/>
      <c r="AF11" s="777"/>
      <c r="AG11" s="777"/>
      <c r="AH11" s="777"/>
    </row>
    <row r="12" spans="2:48" s="772" customFormat="1" ht="15" x14ac:dyDescent="0.25">
      <c r="B12" s="771"/>
      <c r="C12" s="773"/>
      <c r="D12" s="773"/>
      <c r="E12" s="774"/>
      <c r="N12" s="772" t="s">
        <v>475</v>
      </c>
      <c r="AM12" s="779"/>
      <c r="AN12" s="779"/>
      <c r="AO12" s="779"/>
      <c r="AP12" s="779"/>
      <c r="AQ12" s="779"/>
      <c r="AR12" s="779"/>
      <c r="AS12" s="779"/>
      <c r="AT12" s="779"/>
      <c r="AU12" s="779"/>
      <c r="AV12" s="779"/>
    </row>
    <row r="13" spans="2:48" s="772" customFormat="1" ht="15" x14ac:dyDescent="0.25">
      <c r="B13" s="771" t="s">
        <v>28</v>
      </c>
      <c r="C13" s="773"/>
      <c r="D13" s="773"/>
      <c r="E13" s="774"/>
      <c r="AM13" s="779"/>
      <c r="AN13" s="779"/>
      <c r="AO13" s="779"/>
      <c r="AP13" s="779"/>
      <c r="AQ13" s="779"/>
      <c r="AR13" s="779"/>
      <c r="AS13" s="779"/>
      <c r="AT13" s="779"/>
      <c r="AU13" s="779"/>
      <c r="AV13" s="779"/>
    </row>
    <row r="14" spans="2:48" s="772" customFormat="1" ht="30" customHeight="1" x14ac:dyDescent="0.25">
      <c r="B14" s="778" t="s">
        <v>85</v>
      </c>
      <c r="C14" s="775">
        <f>C11/C10</f>
        <v>2383.4720416124837</v>
      </c>
      <c r="D14" s="773" t="s">
        <v>36</v>
      </c>
      <c r="E14" s="774" t="s">
        <v>10</v>
      </c>
      <c r="G14" s="777"/>
      <c r="H14" s="777"/>
      <c r="I14" s="777">
        <f t="shared" ref="I14:O14" si="0">I11/$C$10</f>
        <v>21.993931512787167</v>
      </c>
      <c r="J14" s="777">
        <f t="shared" si="0"/>
        <v>21.993931512787167</v>
      </c>
      <c r="K14" s="777">
        <f t="shared" si="0"/>
        <v>106.3675769397486</v>
      </c>
      <c r="L14" s="777">
        <f t="shared" si="0"/>
        <v>1187.4976199251423</v>
      </c>
      <c r="M14" s="777">
        <f t="shared" si="0"/>
        <v>933.50031938534971</v>
      </c>
      <c r="N14" s="777">
        <f t="shared" si="0"/>
        <v>112.11866233666892</v>
      </c>
      <c r="O14" s="777">
        <f t="shared" si="0"/>
        <v>2383.4720416124842</v>
      </c>
      <c r="P14" s="777"/>
      <c r="Q14" s="777"/>
      <c r="R14" s="777"/>
      <c r="S14" s="777"/>
      <c r="T14" s="777"/>
      <c r="U14" s="777"/>
      <c r="V14" s="777"/>
      <c r="W14" s="777"/>
      <c r="X14" s="777"/>
      <c r="Y14" s="777"/>
      <c r="Z14" s="777"/>
      <c r="AA14" s="777"/>
      <c r="AB14" s="777"/>
      <c r="AC14" s="777"/>
      <c r="AD14" s="777"/>
      <c r="AE14" s="777"/>
      <c r="AF14" s="777"/>
      <c r="AG14" s="777"/>
      <c r="AH14" s="777"/>
      <c r="AI14" s="777"/>
      <c r="AJ14" s="777"/>
      <c r="AK14" s="777"/>
      <c r="AL14" s="777"/>
      <c r="AM14" s="779"/>
      <c r="AN14" s="779"/>
      <c r="AO14" s="779"/>
      <c r="AP14" s="779"/>
      <c r="AQ14" s="779"/>
      <c r="AR14" s="779"/>
      <c r="AS14" s="779"/>
      <c r="AT14" s="779"/>
      <c r="AU14" s="779"/>
      <c r="AV14" s="779"/>
    </row>
    <row r="15" spans="2:48" s="772" customFormat="1" ht="30" customHeight="1" x14ac:dyDescent="0.25">
      <c r="B15" s="778" t="s">
        <v>86</v>
      </c>
      <c r="C15" s="775">
        <f>AVERAGE(I14:O14)</f>
        <v>680.99201188928123</v>
      </c>
      <c r="D15" s="773" t="s">
        <v>49</v>
      </c>
      <c r="E15" s="774" t="s">
        <v>10</v>
      </c>
      <c r="G15" s="777"/>
      <c r="H15" s="777"/>
      <c r="I15" s="777"/>
      <c r="J15" s="777"/>
      <c r="K15" s="777"/>
      <c r="L15" s="777"/>
      <c r="M15" s="777"/>
      <c r="N15" s="777"/>
      <c r="O15" s="777"/>
      <c r="P15" s="777"/>
      <c r="Q15" s="777"/>
      <c r="R15" s="777"/>
      <c r="S15" s="777"/>
      <c r="T15" s="777"/>
      <c r="U15" s="777"/>
      <c r="V15" s="777"/>
      <c r="W15" s="777"/>
      <c r="X15" s="777"/>
      <c r="Y15" s="777"/>
      <c r="Z15" s="777"/>
      <c r="AA15" s="777"/>
      <c r="AB15" s="777"/>
      <c r="AC15" s="777"/>
      <c r="AD15" s="777"/>
      <c r="AE15" s="777"/>
      <c r="AF15" s="777"/>
      <c r="AG15" s="777"/>
      <c r="AH15" s="777"/>
      <c r="AI15" s="777"/>
      <c r="AJ15" s="777"/>
      <c r="AK15" s="777"/>
      <c r="AL15" s="777"/>
      <c r="AM15" s="779"/>
      <c r="AN15" s="779"/>
      <c r="AO15" s="779"/>
      <c r="AP15" s="779"/>
      <c r="AQ15" s="779"/>
      <c r="AR15" s="779"/>
      <c r="AS15" s="779"/>
      <c r="AT15" s="779"/>
      <c r="AU15" s="779"/>
      <c r="AV15" s="779"/>
    </row>
    <row r="16" spans="2:48" ht="13.5" thickBot="1" x14ac:dyDescent="0.3">
      <c r="B16" s="68"/>
      <c r="C16" s="69"/>
      <c r="D16" s="13"/>
      <c r="E16" s="67"/>
      <c r="AM16" s="780"/>
      <c r="AN16" s="780"/>
      <c r="AO16" s="780"/>
      <c r="AP16" s="780"/>
      <c r="AQ16" s="780"/>
      <c r="AR16" s="780"/>
      <c r="AS16" s="780"/>
      <c r="AT16" s="780"/>
      <c r="AU16" s="780"/>
      <c r="AV16" s="780"/>
    </row>
    <row r="17" spans="3:48" x14ac:dyDescent="0.25">
      <c r="C17" s="188"/>
      <c r="AM17" s="780"/>
      <c r="AN17" s="780"/>
      <c r="AO17" s="780"/>
      <c r="AP17" s="780"/>
      <c r="AQ17" s="780"/>
      <c r="AR17" s="780"/>
      <c r="AS17" s="780"/>
      <c r="AT17" s="780"/>
      <c r="AU17" s="780"/>
      <c r="AV17" s="780"/>
    </row>
    <row r="18" spans="3:48" x14ac:dyDescent="0.25">
      <c r="C18" s="188"/>
      <c r="AM18" s="780"/>
      <c r="AN18" s="780"/>
      <c r="AO18" s="780"/>
      <c r="AP18" s="780"/>
      <c r="AQ18" s="780"/>
      <c r="AR18" s="780"/>
      <c r="AS18" s="780"/>
      <c r="AT18" s="780"/>
      <c r="AU18" s="780"/>
      <c r="AV18" s="780"/>
    </row>
    <row r="19" spans="3:48" x14ac:dyDescent="0.25">
      <c r="I19" s="1" t="s">
        <v>475</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249977111117893"/>
    <pageSetUpPr fitToPage="1"/>
  </sheetPr>
  <dimension ref="A2:AV212"/>
  <sheetViews>
    <sheetView showGridLines="0" zoomScale="70" zoomScaleNormal="70" workbookViewId="0">
      <pane ySplit="4" topLeftCell="A5" activePane="bottomLeft" state="frozen"/>
      <selection pane="bottomLeft" activeCell="B17" sqref="B17"/>
    </sheetView>
  </sheetViews>
  <sheetFormatPr defaultRowHeight="12.75" x14ac:dyDescent="0.25"/>
  <cols>
    <col min="1" max="1" width="5.42578125" style="74" customWidth="1"/>
    <col min="2" max="2" width="58.28515625" style="1" customWidth="1"/>
    <col min="3" max="3" width="19" style="1" customWidth="1"/>
    <col min="4" max="4" width="17.28515625" style="1" customWidth="1"/>
    <col min="5" max="5" width="20.28515625" style="1" customWidth="1"/>
    <col min="6" max="6" width="32.5703125" style="183" customWidth="1"/>
    <col min="7" max="7" width="53.7109375" style="74" customWidth="1"/>
    <col min="8" max="8" width="39.85546875" style="74" customWidth="1"/>
    <col min="9" max="10" width="34" style="1" customWidth="1"/>
    <col min="11" max="11" width="9.140625" style="1" customWidth="1"/>
    <col min="12" max="16384" width="9.140625" style="1"/>
  </cols>
  <sheetData>
    <row r="2" spans="1:11" ht="18" x14ac:dyDescent="0.25">
      <c r="B2" s="2" t="str">
        <f>"Single Rates for "&amp;'About the Spreadsheet Tabs'!$B$3</f>
        <v>Single Rates for Benefit-Cost Assessment Spreadsheet for Access I-95: Driving Baltimore's City Development</v>
      </c>
      <c r="C2" s="73"/>
      <c r="D2" s="73"/>
    </row>
    <row r="3" spans="1:11" ht="13.5" thickBot="1" x14ac:dyDescent="0.3">
      <c r="B3" s="73"/>
      <c r="C3" s="73"/>
      <c r="D3" s="73"/>
    </row>
    <row r="4" spans="1:11" ht="16.5" thickBot="1" x14ac:dyDescent="0.3">
      <c r="A4" s="53"/>
      <c r="B4" s="200" t="s">
        <v>0</v>
      </c>
      <c r="C4" s="201" t="s">
        <v>16</v>
      </c>
      <c r="D4" s="201" t="s">
        <v>169</v>
      </c>
      <c r="E4" s="201" t="s">
        <v>110</v>
      </c>
      <c r="F4" s="201" t="s">
        <v>1</v>
      </c>
      <c r="G4" s="202" t="s">
        <v>3</v>
      </c>
      <c r="H4" s="203" t="s">
        <v>6</v>
      </c>
    </row>
    <row r="5" spans="1:11" s="50" customFormat="1" ht="13.5" thickBot="1" x14ac:dyDescent="0.3">
      <c r="A5" s="53"/>
      <c r="D5" s="95"/>
      <c r="F5" s="230"/>
    </row>
    <row r="6" spans="1:11" ht="16.5" thickBot="1" x14ac:dyDescent="0.3">
      <c r="B6" s="8" t="s">
        <v>21</v>
      </c>
      <c r="C6" s="9"/>
      <c r="D6" s="9"/>
      <c r="E6" s="9"/>
      <c r="F6" s="231"/>
      <c r="G6" s="96"/>
      <c r="H6" s="97"/>
      <c r="K6" s="98"/>
    </row>
    <row r="7" spans="1:11" x14ac:dyDescent="0.25">
      <c r="B7" s="11"/>
      <c r="C7" s="10"/>
      <c r="D7" s="10"/>
      <c r="E7" s="10"/>
      <c r="F7" s="232"/>
      <c r="G7" s="99"/>
      <c r="H7" s="100"/>
      <c r="K7" s="98"/>
    </row>
    <row r="8" spans="1:11" ht="41.25" customHeight="1" x14ac:dyDescent="0.25">
      <c r="B8" s="11" t="s">
        <v>22</v>
      </c>
      <c r="C8" s="78">
        <v>0.03</v>
      </c>
      <c r="D8" s="12"/>
      <c r="E8" s="12"/>
      <c r="F8" s="233"/>
      <c r="G8" s="80" t="s">
        <v>288</v>
      </c>
      <c r="H8" s="81" t="s">
        <v>87</v>
      </c>
      <c r="I8"/>
      <c r="K8" s="98"/>
    </row>
    <row r="9" spans="1:11" ht="40.5" customHeight="1" x14ac:dyDescent="0.25">
      <c r="B9" s="11" t="s">
        <v>23</v>
      </c>
      <c r="C9" s="78">
        <v>7.0000000000000007E-2</v>
      </c>
      <c r="D9" s="12"/>
      <c r="E9" s="12"/>
      <c r="F9" s="233"/>
      <c r="G9" s="80" t="s">
        <v>288</v>
      </c>
      <c r="H9" s="81" t="s">
        <v>87</v>
      </c>
      <c r="K9" s="98"/>
    </row>
    <row r="10" spans="1:11" ht="13.5" thickBot="1" x14ac:dyDescent="0.3">
      <c r="B10" s="66"/>
      <c r="C10" s="101"/>
      <c r="D10" s="13"/>
      <c r="E10" s="13"/>
      <c r="F10" s="143"/>
      <c r="G10" s="84"/>
      <c r="H10" s="102"/>
      <c r="K10" s="98"/>
    </row>
    <row r="11" spans="1:11" s="50" customFormat="1" ht="13.5" thickBot="1" x14ac:dyDescent="0.3">
      <c r="A11" s="53"/>
      <c r="D11" s="95"/>
      <c r="F11" s="230"/>
    </row>
    <row r="12" spans="1:11" ht="16.5" thickBot="1" x14ac:dyDescent="0.3">
      <c r="B12" s="196" t="s">
        <v>9</v>
      </c>
      <c r="C12" s="103"/>
      <c r="D12" s="103"/>
      <c r="E12" s="103"/>
      <c r="F12" s="234"/>
      <c r="G12" s="104"/>
      <c r="H12" s="105"/>
      <c r="K12" s="98"/>
    </row>
    <row r="13" spans="1:11" x14ac:dyDescent="0.25">
      <c r="B13" s="58"/>
      <c r="C13" s="59"/>
      <c r="D13" s="59"/>
      <c r="E13" s="59"/>
      <c r="F13" s="235"/>
      <c r="G13" s="106"/>
      <c r="H13" s="107"/>
      <c r="K13" s="98"/>
    </row>
    <row r="14" spans="1:11" x14ac:dyDescent="0.25">
      <c r="B14" s="390" t="s">
        <v>281</v>
      </c>
      <c r="C14" s="108"/>
      <c r="D14" s="109"/>
      <c r="E14" s="108"/>
      <c r="F14" s="236"/>
      <c r="G14" s="61"/>
      <c r="H14" s="89"/>
      <c r="K14" s="98"/>
    </row>
    <row r="15" spans="1:11" ht="38.25" x14ac:dyDescent="0.25">
      <c r="B15" s="389" t="s">
        <v>286</v>
      </c>
      <c r="C15" s="273">
        <f>'Pavement,NoiseMarginalCost'!C20</f>
        <v>1E-3</v>
      </c>
      <c r="D15" s="109">
        <v>2000</v>
      </c>
      <c r="E15" s="273">
        <f>C15*'CPI Factors'!$W$91/'CPI Factors'!$H$91</f>
        <v>1.376405342624855E-3</v>
      </c>
      <c r="F15" s="236" t="s">
        <v>14</v>
      </c>
      <c r="G15" s="61" t="s">
        <v>283</v>
      </c>
      <c r="H15" s="89" t="s">
        <v>15</v>
      </c>
      <c r="K15" s="98"/>
    </row>
    <row r="16" spans="1:11" ht="38.25" x14ac:dyDescent="0.25">
      <c r="B16" s="389" t="s">
        <v>287</v>
      </c>
      <c r="C16" s="273">
        <f>'Pavement,NoiseMarginalCost'!C21</f>
        <v>0.18149999999999999</v>
      </c>
      <c r="D16" s="109">
        <v>2000</v>
      </c>
      <c r="E16" s="273">
        <f>C16*'CPI Factors'!$W$91/'CPI Factors'!$H$91</f>
        <v>0.24981756968641117</v>
      </c>
      <c r="F16" s="236" t="s">
        <v>14</v>
      </c>
      <c r="G16" s="61" t="s">
        <v>283</v>
      </c>
      <c r="H16" s="89" t="s">
        <v>15</v>
      </c>
      <c r="K16" s="98"/>
    </row>
    <row r="17" spans="1:11" x14ac:dyDescent="0.25">
      <c r="B17" s="389"/>
      <c r="C17" s="108"/>
      <c r="D17" s="109"/>
      <c r="E17" s="273"/>
      <c r="F17" s="236"/>
      <c r="G17" s="61"/>
      <c r="H17" s="89"/>
      <c r="K17" s="98"/>
    </row>
    <row r="18" spans="1:11" x14ac:dyDescent="0.25">
      <c r="B18" s="390" t="s">
        <v>282</v>
      </c>
      <c r="C18" s="108"/>
      <c r="D18" s="109"/>
      <c r="E18" s="273"/>
      <c r="F18" s="236"/>
      <c r="G18" s="61"/>
      <c r="H18" s="89"/>
      <c r="K18" s="98"/>
    </row>
    <row r="19" spans="1:11" ht="38.25" x14ac:dyDescent="0.25">
      <c r="B19" s="389" t="s">
        <v>286</v>
      </c>
      <c r="C19" s="273">
        <f>'Pavement,NoiseMarginalCost'!C43</f>
        <v>6.4333333333333334E-3</v>
      </c>
      <c r="D19" s="109">
        <v>2000</v>
      </c>
      <c r="E19" s="273">
        <f>C19*'CPI Factors'!$W$91/'CPI Factors'!$H$91</f>
        <v>8.8548743708865667E-3</v>
      </c>
      <c r="F19" s="236" t="s">
        <v>14</v>
      </c>
      <c r="G19" s="61" t="s">
        <v>19</v>
      </c>
      <c r="H19" s="89" t="s">
        <v>15</v>
      </c>
      <c r="K19" s="98"/>
    </row>
    <row r="20" spans="1:11" ht="38.25" x14ac:dyDescent="0.25">
      <c r="B20" s="389" t="s">
        <v>287</v>
      </c>
      <c r="C20" s="273">
        <f>'Pavement,NoiseMarginalCost'!C44</f>
        <v>2.46E-2</v>
      </c>
      <c r="D20" s="109">
        <v>2000</v>
      </c>
      <c r="E20" s="273">
        <f>C20*'CPI Factors'!$W$91/'CPI Factors'!$H$91</f>
        <v>3.3859571428571433E-2</v>
      </c>
      <c r="F20" s="236" t="s">
        <v>14</v>
      </c>
      <c r="G20" s="61" t="s">
        <v>19</v>
      </c>
      <c r="H20" s="89" t="s">
        <v>15</v>
      </c>
      <c r="K20" s="98"/>
    </row>
    <row r="21" spans="1:11" ht="13.5" thickBot="1" x14ac:dyDescent="0.3">
      <c r="B21" s="110"/>
      <c r="C21" s="111"/>
      <c r="D21" s="112"/>
      <c r="E21" s="62"/>
      <c r="F21" s="237"/>
      <c r="G21" s="91"/>
      <c r="H21" s="92"/>
      <c r="K21" s="98"/>
    </row>
    <row r="22" spans="1:11" s="50" customFormat="1" ht="13.5" thickBot="1" x14ac:dyDescent="0.3">
      <c r="A22" s="53"/>
      <c r="D22" s="95"/>
      <c r="F22" s="230"/>
    </row>
    <row r="23" spans="1:11" ht="16.5" thickBot="1" x14ac:dyDescent="0.3">
      <c r="B23" s="197" t="s">
        <v>12</v>
      </c>
      <c r="C23" s="113"/>
      <c r="D23" s="114"/>
      <c r="E23" s="115"/>
      <c r="F23" s="238"/>
      <c r="G23" s="116"/>
      <c r="H23" s="117"/>
      <c r="K23" s="98"/>
    </row>
    <row r="24" spans="1:11" x14ac:dyDescent="0.25">
      <c r="B24" s="141"/>
      <c r="C24" s="55"/>
      <c r="D24" s="118"/>
      <c r="E24" s="119"/>
      <c r="F24" s="142"/>
      <c r="G24" s="120"/>
      <c r="H24" s="121"/>
      <c r="K24" s="98"/>
    </row>
    <row r="25" spans="1:11" ht="15" x14ac:dyDescent="0.25">
      <c r="B25" s="228" t="s">
        <v>113</v>
      </c>
      <c r="C25" s="64"/>
      <c r="D25" s="122"/>
      <c r="E25" s="64"/>
      <c r="F25" s="233"/>
      <c r="G25" s="80" t="s">
        <v>475</v>
      </c>
      <c r="H25" s="81"/>
    </row>
    <row r="26" spans="1:11" x14ac:dyDescent="0.25">
      <c r="B26" s="15" t="s">
        <v>91</v>
      </c>
      <c r="C26" s="206"/>
      <c r="D26" s="207"/>
      <c r="E26" s="206"/>
      <c r="F26" s="233"/>
      <c r="G26" s="80"/>
      <c r="H26" s="81"/>
    </row>
    <row r="27" spans="1:11" ht="17.100000000000001" customHeight="1" x14ac:dyDescent="0.25">
      <c r="B27" s="205" t="s">
        <v>88</v>
      </c>
      <c r="C27" s="257">
        <v>13.6</v>
      </c>
      <c r="D27" s="122">
        <v>2015</v>
      </c>
      <c r="E27" s="257">
        <f>C27*'CPI Factors'!$W$91/'CPI Factors'!$W$91</f>
        <v>13.6</v>
      </c>
      <c r="F27" s="233" t="s">
        <v>8</v>
      </c>
      <c r="G27" s="1239" t="s">
        <v>289</v>
      </c>
      <c r="H27" s="1238" t="s">
        <v>476</v>
      </c>
    </row>
    <row r="28" spans="1:11" ht="17.100000000000001" customHeight="1" x14ac:dyDescent="0.25">
      <c r="B28" s="205" t="s">
        <v>89</v>
      </c>
      <c r="C28" s="257">
        <v>25.4</v>
      </c>
      <c r="D28" s="122">
        <v>2015</v>
      </c>
      <c r="E28" s="257">
        <f>C28*'CPI Factors'!$W$91/'CPI Factors'!$W$91</f>
        <v>25.4</v>
      </c>
      <c r="F28" s="233" t="s">
        <v>8</v>
      </c>
      <c r="G28" s="1239"/>
      <c r="H28" s="1238"/>
    </row>
    <row r="29" spans="1:11" ht="17.100000000000001" customHeight="1" x14ac:dyDescent="0.25">
      <c r="B29" s="205" t="s">
        <v>90</v>
      </c>
      <c r="C29" s="257">
        <v>14.1</v>
      </c>
      <c r="D29" s="122">
        <v>2015</v>
      </c>
      <c r="E29" s="257">
        <f>C29*'CPI Factors'!$W$91/'CPI Factors'!$W$91</f>
        <v>14.1</v>
      </c>
      <c r="F29" s="233" t="s">
        <v>8</v>
      </c>
      <c r="G29" s="1239"/>
      <c r="H29" s="1238"/>
    </row>
    <row r="30" spans="1:11" ht="17.100000000000001" customHeight="1" x14ac:dyDescent="0.25">
      <c r="B30" s="15" t="s">
        <v>92</v>
      </c>
      <c r="C30" s="257"/>
      <c r="D30" s="122"/>
      <c r="E30" s="257"/>
      <c r="F30" s="233"/>
      <c r="G30" s="1239"/>
      <c r="H30" s="1238"/>
    </row>
    <row r="31" spans="1:11" ht="17.100000000000001" customHeight="1" x14ac:dyDescent="0.25">
      <c r="B31" s="205" t="s">
        <v>88</v>
      </c>
      <c r="C31" s="257">
        <v>19</v>
      </c>
      <c r="D31" s="122">
        <v>2015</v>
      </c>
      <c r="E31" s="257">
        <f>C31*'CPI Factors'!$W$91/'CPI Factors'!$W$91</f>
        <v>19</v>
      </c>
      <c r="F31" s="233" t="s">
        <v>8</v>
      </c>
      <c r="G31" s="1239"/>
      <c r="H31" s="1238"/>
    </row>
    <row r="32" spans="1:11" ht="17.100000000000001" customHeight="1" x14ac:dyDescent="0.25">
      <c r="B32" s="205" t="s">
        <v>89</v>
      </c>
      <c r="C32" s="257">
        <v>25.4</v>
      </c>
      <c r="D32" s="122">
        <v>2015</v>
      </c>
      <c r="E32" s="257">
        <f>C32*'CPI Factors'!$W$91/'CPI Factors'!$W$91</f>
        <v>25.4</v>
      </c>
      <c r="F32" s="233" t="s">
        <v>8</v>
      </c>
      <c r="G32" s="1239"/>
      <c r="H32" s="1238"/>
    </row>
    <row r="33" spans="1:8" ht="17.100000000000001" customHeight="1" x14ac:dyDescent="0.25">
      <c r="B33" s="205" t="s">
        <v>90</v>
      </c>
      <c r="C33" s="257">
        <v>20.399999999999999</v>
      </c>
      <c r="D33" s="122">
        <v>2015</v>
      </c>
      <c r="E33" s="257">
        <f>C33*'CPI Factors'!$W$91/'CPI Factors'!$W$91</f>
        <v>20.399999999999999</v>
      </c>
      <c r="F33" s="233" t="s">
        <v>8</v>
      </c>
      <c r="G33" s="1239"/>
      <c r="H33" s="1238"/>
    </row>
    <row r="34" spans="1:8" ht="17.100000000000001" customHeight="1" x14ac:dyDescent="0.25">
      <c r="B34" s="442"/>
      <c r="C34" s="64"/>
      <c r="D34" s="122"/>
      <c r="E34" s="64"/>
      <c r="F34" s="233"/>
      <c r="G34" s="1239"/>
      <c r="H34" s="1238"/>
    </row>
    <row r="35" spans="1:8" x14ac:dyDescent="0.25">
      <c r="B35" s="15" t="s">
        <v>17</v>
      </c>
      <c r="C35" s="257">
        <v>27.2</v>
      </c>
      <c r="D35" s="123">
        <v>2015</v>
      </c>
      <c r="E35" s="257">
        <f>C35*'CPI Factors'!$W$91/'CPI Factors'!$W$91</f>
        <v>27.2</v>
      </c>
      <c r="F35" s="233" t="s">
        <v>8</v>
      </c>
      <c r="G35" s="1239"/>
      <c r="H35" s="1238"/>
    </row>
    <row r="36" spans="1:8" x14ac:dyDescent="0.25">
      <c r="B36" s="15"/>
      <c r="C36" s="257"/>
      <c r="D36" s="123"/>
      <c r="E36" s="257"/>
      <c r="F36" s="233"/>
      <c r="G36" s="890"/>
      <c r="H36" s="889"/>
    </row>
    <row r="37" spans="1:8" x14ac:dyDescent="0.25">
      <c r="B37" s="15" t="s">
        <v>485</v>
      </c>
      <c r="C37" s="257"/>
      <c r="D37" s="123"/>
      <c r="E37" s="257"/>
      <c r="F37" s="233"/>
      <c r="G37" s="890"/>
      <c r="H37" s="889"/>
    </row>
    <row r="38" spans="1:8" x14ac:dyDescent="0.25">
      <c r="B38" s="15" t="s">
        <v>88</v>
      </c>
      <c r="C38" s="72">
        <v>365</v>
      </c>
      <c r="D38" s="123"/>
      <c r="E38" s="257"/>
      <c r="F38" s="233"/>
      <c r="G38" s="890" t="s">
        <v>513</v>
      </c>
      <c r="H38" s="889"/>
    </row>
    <row r="39" spans="1:8" x14ac:dyDescent="0.25">
      <c r="B39" s="15" t="s">
        <v>486</v>
      </c>
      <c r="C39" s="72">
        <v>250</v>
      </c>
      <c r="D39" s="123"/>
      <c r="E39" s="257"/>
      <c r="F39" s="233"/>
      <c r="G39" s="902" t="s">
        <v>513</v>
      </c>
      <c r="H39" s="889"/>
    </row>
    <row r="40" spans="1:8" x14ac:dyDescent="0.25">
      <c r="B40" s="15" t="s">
        <v>160</v>
      </c>
      <c r="C40" s="72">
        <v>365</v>
      </c>
      <c r="D40" s="123"/>
      <c r="E40" s="257"/>
      <c r="F40" s="233"/>
      <c r="G40" s="902" t="s">
        <v>513</v>
      </c>
      <c r="H40" s="889"/>
    </row>
    <row r="41" spans="1:8" ht="13.5" thickBot="1" x14ac:dyDescent="0.3">
      <c r="B41" s="247"/>
      <c r="C41" s="248"/>
      <c r="D41" s="249"/>
      <c r="E41" s="250"/>
      <c r="F41" s="251"/>
      <c r="G41" s="252" t="s">
        <v>475</v>
      </c>
      <c r="H41" s="102"/>
    </row>
    <row r="42" spans="1:8" ht="13.5" thickBot="1" x14ac:dyDescent="0.3">
      <c r="B42" s="443"/>
      <c r="C42" s="444"/>
      <c r="D42" s="445"/>
      <c r="E42" s="446"/>
      <c r="F42" s="447"/>
      <c r="G42" s="443"/>
      <c r="H42" s="448"/>
    </row>
    <row r="43" spans="1:8" ht="16.5" thickBot="1" x14ac:dyDescent="0.3">
      <c r="B43" s="449" t="s">
        <v>293</v>
      </c>
      <c r="C43" s="450"/>
      <c r="D43" s="451"/>
      <c r="E43" s="452"/>
      <c r="F43" s="453"/>
      <c r="G43" s="454"/>
      <c r="H43" s="455"/>
    </row>
    <row r="44" spans="1:8" x14ac:dyDescent="0.25">
      <c r="B44" s="456"/>
      <c r="C44" s="148"/>
      <c r="D44" s="457"/>
      <c r="E44" s="458"/>
      <c r="F44" s="459"/>
      <c r="G44" s="460"/>
      <c r="H44" s="461"/>
    </row>
    <row r="45" spans="1:8" ht="38.25" x14ac:dyDescent="0.25">
      <c r="B45" s="462" t="s">
        <v>294</v>
      </c>
      <c r="C45" s="564">
        <f>'VOC '!$D$11/100</f>
        <v>0.63766666666666671</v>
      </c>
      <c r="D45" s="463">
        <v>2014</v>
      </c>
      <c r="E45" s="565">
        <f>C45*'CPI Factors'!$W$91/'CPI Factors'!$V$91</f>
        <v>0.63842356182977389</v>
      </c>
      <c r="F45" s="464" t="s">
        <v>14</v>
      </c>
      <c r="G45" s="472" t="s">
        <v>297</v>
      </c>
      <c r="H45" s="465" t="s">
        <v>251</v>
      </c>
    </row>
    <row r="46" spans="1:8" ht="51" x14ac:dyDescent="0.25">
      <c r="B46" s="462" t="s">
        <v>295</v>
      </c>
      <c r="C46" s="565">
        <f>'VOC '!$C$27</f>
        <v>1.1029999999999998</v>
      </c>
      <c r="D46" s="463">
        <v>2014</v>
      </c>
      <c r="E46" s="565">
        <f>C46*'CPI Factors'!$W$91/'CPI Factors'!$V$91</f>
        <v>1.1043092347593944</v>
      </c>
      <c r="F46" s="464" t="s">
        <v>14</v>
      </c>
      <c r="G46" s="472" t="s">
        <v>298</v>
      </c>
      <c r="H46" s="465" t="s">
        <v>299</v>
      </c>
    </row>
    <row r="47" spans="1:8" ht="13.5" thickBot="1" x14ac:dyDescent="0.3">
      <c r="B47" s="466"/>
      <c r="C47" s="467"/>
      <c r="D47" s="468"/>
      <c r="E47" s="467"/>
      <c r="F47" s="469"/>
      <c r="G47" s="470"/>
      <c r="H47" s="471"/>
    </row>
    <row r="48" spans="1:8" s="50" customFormat="1" ht="13.5" thickBot="1" x14ac:dyDescent="0.3">
      <c r="A48" s="53"/>
      <c r="D48" s="95"/>
      <c r="F48" s="230"/>
    </row>
    <row r="49" spans="2:8" ht="16.5" thickBot="1" x14ac:dyDescent="0.3">
      <c r="B49" s="194" t="s">
        <v>30</v>
      </c>
      <c r="C49" s="57"/>
      <c r="D49" s="124"/>
      <c r="E49" s="57"/>
      <c r="F49" s="239"/>
      <c r="G49" s="125"/>
      <c r="H49" s="126"/>
    </row>
    <row r="50" spans="2:8" x14ac:dyDescent="0.25">
      <c r="B50" s="295"/>
      <c r="C50" s="59"/>
      <c r="D50" s="296"/>
      <c r="E50" s="59"/>
      <c r="F50" s="235"/>
      <c r="G50" s="106"/>
      <c r="H50" s="107"/>
    </row>
    <row r="51" spans="2:8" ht="25.5" x14ac:dyDescent="0.25">
      <c r="B51" s="48" t="s">
        <v>51</v>
      </c>
      <c r="C51" s="127">
        <v>21.4</v>
      </c>
      <c r="D51" s="109">
        <v>2014</v>
      </c>
      <c r="E51" s="127"/>
      <c r="F51" s="236" t="s">
        <v>4</v>
      </c>
      <c r="G51" s="61" t="s">
        <v>116</v>
      </c>
      <c r="H51" s="89" t="s">
        <v>115</v>
      </c>
    </row>
    <row r="52" spans="2:8" ht="25.5" x14ac:dyDescent="0.25">
      <c r="B52" s="48" t="s">
        <v>52</v>
      </c>
      <c r="C52" s="127">
        <v>6.3</v>
      </c>
      <c r="D52" s="109">
        <v>2014</v>
      </c>
      <c r="E52" s="127"/>
      <c r="F52" s="236" t="s">
        <v>4</v>
      </c>
      <c r="G52" s="61" t="s">
        <v>116</v>
      </c>
      <c r="H52" s="89" t="s">
        <v>115</v>
      </c>
    </row>
    <row r="53" spans="2:8" x14ac:dyDescent="0.25">
      <c r="B53" s="48"/>
      <c r="C53" s="70"/>
      <c r="D53" s="109"/>
      <c r="E53" s="71"/>
      <c r="F53" s="236"/>
      <c r="G53" s="61"/>
      <c r="H53" s="89"/>
    </row>
    <row r="54" spans="2:8" x14ac:dyDescent="0.25">
      <c r="B54" s="48" t="s">
        <v>53</v>
      </c>
      <c r="C54" s="127">
        <v>0.33</v>
      </c>
      <c r="D54" s="109"/>
      <c r="E54" s="60"/>
      <c r="F54" s="236" t="s">
        <v>70</v>
      </c>
      <c r="G54" s="61" t="s">
        <v>73</v>
      </c>
      <c r="H54" s="89"/>
    </row>
    <row r="55" spans="2:8" x14ac:dyDescent="0.25">
      <c r="B55" s="48"/>
      <c r="C55" s="127"/>
      <c r="D55" s="109"/>
      <c r="E55" s="60"/>
      <c r="F55" s="236"/>
      <c r="G55" s="61"/>
      <c r="H55" s="89"/>
    </row>
    <row r="56" spans="2:8" ht="27.75" customHeight="1" x14ac:dyDescent="0.2">
      <c r="B56" s="48" t="s">
        <v>54</v>
      </c>
      <c r="C56" s="127">
        <v>0.8</v>
      </c>
      <c r="D56" s="109"/>
      <c r="E56" s="60"/>
      <c r="F56" s="236" t="s">
        <v>70</v>
      </c>
      <c r="G56" s="61" t="s">
        <v>71</v>
      </c>
      <c r="H56" s="291" t="s">
        <v>72</v>
      </c>
    </row>
    <row r="57" spans="2:8" x14ac:dyDescent="0.25">
      <c r="B57" s="48"/>
      <c r="C57" s="127"/>
      <c r="D57" s="109"/>
      <c r="E57" s="60"/>
      <c r="F57" s="236"/>
      <c r="G57" s="61"/>
      <c r="H57" s="89"/>
    </row>
    <row r="58" spans="2:8" ht="15" x14ac:dyDescent="0.25">
      <c r="B58" s="885" t="s">
        <v>141</v>
      </c>
      <c r="C58" s="127"/>
      <c r="D58" s="109"/>
      <c r="E58" s="60"/>
      <c r="F58" s="236"/>
      <c r="G58" s="61"/>
      <c r="H58" s="89"/>
    </row>
    <row r="59" spans="2:8" ht="18" customHeight="1" x14ac:dyDescent="0.25">
      <c r="B59" s="253" t="s">
        <v>78</v>
      </c>
      <c r="C59" s="255">
        <f>'EmissRates(EPA)'!C19</f>
        <v>2.7047500000000002</v>
      </c>
      <c r="D59" s="109">
        <v>2008</v>
      </c>
      <c r="E59" s="60"/>
      <c r="F59" s="236" t="s">
        <v>70</v>
      </c>
      <c r="G59" s="1232" t="s">
        <v>139</v>
      </c>
      <c r="H59" s="1233" t="s">
        <v>140</v>
      </c>
    </row>
    <row r="60" spans="2:8" ht="18" customHeight="1" x14ac:dyDescent="0.25">
      <c r="B60" s="253" t="s">
        <v>37</v>
      </c>
      <c r="C60" s="255">
        <f>'EmissRates(EPA)'!C21</f>
        <v>39.205249999999999</v>
      </c>
      <c r="D60" s="109">
        <v>2008</v>
      </c>
      <c r="E60" s="60"/>
      <c r="F60" s="236" t="s">
        <v>70</v>
      </c>
      <c r="G60" s="1232"/>
      <c r="H60" s="1233"/>
    </row>
    <row r="61" spans="2:8" ht="18" customHeight="1" x14ac:dyDescent="0.25">
      <c r="B61" s="253" t="s">
        <v>77</v>
      </c>
      <c r="C61" s="255">
        <f>'EmissRates(EPA)'!C22</f>
        <v>3.4937499999999999</v>
      </c>
      <c r="D61" s="109">
        <v>2008</v>
      </c>
      <c r="E61" s="60"/>
      <c r="F61" s="236" t="s">
        <v>70</v>
      </c>
      <c r="G61" s="1232"/>
      <c r="H61" s="1233"/>
    </row>
    <row r="62" spans="2:8" ht="18" customHeight="1" x14ac:dyDescent="0.25">
      <c r="B62" s="253" t="s">
        <v>155</v>
      </c>
      <c r="C62" s="254" t="s">
        <v>114</v>
      </c>
      <c r="D62" s="109">
        <v>2008</v>
      </c>
      <c r="E62" s="60"/>
      <c r="F62" s="236" t="s">
        <v>114</v>
      </c>
      <c r="G62" s="1232"/>
      <c r="H62" s="1233"/>
    </row>
    <row r="63" spans="2:8" ht="18" customHeight="1" x14ac:dyDescent="0.25">
      <c r="B63" s="48"/>
      <c r="C63" s="127"/>
      <c r="D63" s="109"/>
      <c r="E63" s="60"/>
      <c r="F63" s="236"/>
      <c r="G63" s="61"/>
      <c r="H63" s="89"/>
    </row>
    <row r="64" spans="2:8" ht="18" customHeight="1" x14ac:dyDescent="0.25">
      <c r="B64" s="885" t="s">
        <v>142</v>
      </c>
      <c r="C64" s="127"/>
      <c r="D64" s="109"/>
      <c r="E64" s="60"/>
      <c r="F64" s="236"/>
      <c r="G64" s="61"/>
      <c r="H64" s="89"/>
    </row>
    <row r="65" spans="2:11" ht="18" customHeight="1" x14ac:dyDescent="0.25">
      <c r="B65" s="253" t="s">
        <v>78</v>
      </c>
      <c r="C65" s="255">
        <f>'EmissRates(EPA)'!D19</f>
        <v>4.9749999999999996</v>
      </c>
      <c r="D65" s="109">
        <v>2008</v>
      </c>
      <c r="E65" s="60"/>
      <c r="F65" s="236" t="s">
        <v>70</v>
      </c>
      <c r="G65" s="1232" t="s">
        <v>139</v>
      </c>
      <c r="H65" s="1233" t="s">
        <v>140</v>
      </c>
    </row>
    <row r="66" spans="2:11" ht="18" customHeight="1" x14ac:dyDescent="0.25">
      <c r="B66" s="253" t="s">
        <v>37</v>
      </c>
      <c r="C66" s="255">
        <f>'EmissRates(EPA)'!D21</f>
        <v>88.76400000000001</v>
      </c>
      <c r="D66" s="109">
        <v>2008</v>
      </c>
      <c r="E66" s="60"/>
      <c r="F66" s="236" t="s">
        <v>70</v>
      </c>
      <c r="G66" s="1232"/>
      <c r="H66" s="1233"/>
    </row>
    <row r="67" spans="2:11" ht="18" customHeight="1" x14ac:dyDescent="0.25">
      <c r="B67" s="253" t="s">
        <v>77</v>
      </c>
      <c r="C67" s="255">
        <f>'EmissRates(EPA)'!D22</f>
        <v>19.546499999999998</v>
      </c>
      <c r="D67" s="109">
        <v>2008</v>
      </c>
      <c r="E67" s="60"/>
      <c r="F67" s="236" t="s">
        <v>70</v>
      </c>
      <c r="G67" s="1232"/>
      <c r="H67" s="1233"/>
    </row>
    <row r="68" spans="2:11" ht="18" customHeight="1" x14ac:dyDescent="0.25">
      <c r="B68" s="253" t="s">
        <v>76</v>
      </c>
      <c r="C68" s="256">
        <f>SUM('EmissRates(EPA)'!D23:D24)</f>
        <v>2.2960000000000003</v>
      </c>
      <c r="D68" s="109">
        <v>2008</v>
      </c>
      <c r="E68" s="60"/>
      <c r="F68" s="236" t="s">
        <v>70</v>
      </c>
      <c r="G68" s="1232"/>
      <c r="H68" s="1233"/>
    </row>
    <row r="69" spans="2:11" ht="18" customHeight="1" x14ac:dyDescent="0.25">
      <c r="B69" s="48"/>
      <c r="C69" s="127"/>
      <c r="D69" s="109"/>
      <c r="E69" s="60"/>
      <c r="F69" s="236"/>
      <c r="G69" s="61"/>
      <c r="H69" s="89"/>
    </row>
    <row r="70" spans="2:11" ht="18" customHeight="1" x14ac:dyDescent="0.25">
      <c r="B70" s="885" t="s">
        <v>166</v>
      </c>
      <c r="C70" s="127"/>
      <c r="D70" s="109"/>
      <c r="E70" s="60"/>
      <c r="F70" s="236"/>
      <c r="G70" s="61"/>
      <c r="H70" s="89"/>
    </row>
    <row r="71" spans="2:11" ht="18" customHeight="1" x14ac:dyDescent="0.25">
      <c r="B71" s="253" t="s">
        <v>78</v>
      </c>
      <c r="C71" s="255">
        <f>'EmissRates(EPA)'!E29</f>
        <v>1.129</v>
      </c>
      <c r="D71" s="109">
        <v>2008</v>
      </c>
      <c r="E71" s="60"/>
      <c r="F71" s="236" t="s">
        <v>75</v>
      </c>
      <c r="G71" s="1232" t="s">
        <v>156</v>
      </c>
      <c r="H71" s="1233" t="s">
        <v>153</v>
      </c>
    </row>
    <row r="72" spans="2:11" ht="18" customHeight="1" x14ac:dyDescent="0.25">
      <c r="B72" s="253" t="s">
        <v>37</v>
      </c>
      <c r="C72" s="255">
        <f>'EmissRates(EPA)'!E31</f>
        <v>10.620000000000001</v>
      </c>
      <c r="D72" s="109">
        <v>2008</v>
      </c>
      <c r="E72" s="60"/>
      <c r="F72" s="236" t="s">
        <v>75</v>
      </c>
      <c r="G72" s="1232"/>
      <c r="H72" s="1233"/>
    </row>
    <row r="73" spans="2:11" ht="18" customHeight="1" x14ac:dyDescent="0.25">
      <c r="B73" s="253" t="s">
        <v>77</v>
      </c>
      <c r="C73" s="273">
        <f>'EmissRates(EPA)'!E32</f>
        <v>0.8214999999999999</v>
      </c>
      <c r="D73" s="109">
        <v>2008</v>
      </c>
      <c r="E73" s="60"/>
      <c r="F73" s="236" t="s">
        <v>75</v>
      </c>
      <c r="G73" s="1232"/>
      <c r="H73" s="1233"/>
    </row>
    <row r="74" spans="2:11" ht="18" customHeight="1" x14ac:dyDescent="0.25">
      <c r="B74" s="253" t="s">
        <v>155</v>
      </c>
      <c r="C74" s="273">
        <f>SUM('EmissRates(EPA)'!E33:E34)</f>
        <v>8.9499999999999996E-3</v>
      </c>
      <c r="D74" s="109">
        <v>2008</v>
      </c>
      <c r="E74" s="60"/>
      <c r="F74" s="236" t="s">
        <v>75</v>
      </c>
      <c r="G74" s="1232"/>
      <c r="H74" s="1233"/>
    </row>
    <row r="75" spans="2:11" x14ac:dyDescent="0.25">
      <c r="B75" s="48"/>
      <c r="C75" s="127"/>
      <c r="D75" s="109"/>
      <c r="E75" s="60"/>
      <c r="F75" s="236"/>
      <c r="G75" s="61"/>
      <c r="H75" s="89"/>
    </row>
    <row r="76" spans="2:11" ht="18" customHeight="1" x14ac:dyDescent="0.25">
      <c r="B76" s="885" t="s">
        <v>167</v>
      </c>
      <c r="C76" s="256"/>
      <c r="D76" s="109"/>
      <c r="E76" s="60"/>
      <c r="F76" s="236"/>
      <c r="G76" s="288"/>
      <c r="H76" s="289"/>
    </row>
    <row r="77" spans="2:11" ht="18" customHeight="1" x14ac:dyDescent="0.25">
      <c r="B77" s="253" t="s">
        <v>78</v>
      </c>
      <c r="C77" s="256">
        <f>'EmissRates(EPA)'!J29</f>
        <v>1.0165</v>
      </c>
      <c r="D77" s="109">
        <v>2008</v>
      </c>
      <c r="E77" s="60"/>
      <c r="F77" s="236" t="s">
        <v>75</v>
      </c>
      <c r="G77" s="1232" t="s">
        <v>159</v>
      </c>
      <c r="H77" s="1233" t="s">
        <v>154</v>
      </c>
      <c r="I77" s="290"/>
      <c r="J77" s="290"/>
      <c r="K77" s="290"/>
    </row>
    <row r="78" spans="2:11" ht="18" customHeight="1" x14ac:dyDescent="0.25">
      <c r="B78" s="253" t="s">
        <v>37</v>
      </c>
      <c r="C78" s="256">
        <f>'EmissRates(EPA)'!J31</f>
        <v>7.7205000000000004</v>
      </c>
      <c r="D78" s="109">
        <v>2008</v>
      </c>
      <c r="E78" s="60"/>
      <c r="F78" s="236" t="s">
        <v>75</v>
      </c>
      <c r="G78" s="1232"/>
      <c r="H78" s="1233"/>
    </row>
    <row r="79" spans="2:11" ht="18" customHeight="1" x14ac:dyDescent="0.25">
      <c r="B79" s="253" t="s">
        <v>77</v>
      </c>
      <c r="C79" s="256">
        <f>'EmissRates(EPA)'!J32</f>
        <v>5.7634999999999996</v>
      </c>
      <c r="D79" s="109">
        <v>2008</v>
      </c>
      <c r="E79" s="60"/>
      <c r="F79" s="236" t="s">
        <v>75</v>
      </c>
      <c r="G79" s="1232"/>
      <c r="H79" s="1233"/>
    </row>
    <row r="80" spans="2:11" ht="18" customHeight="1" x14ac:dyDescent="0.25">
      <c r="B80" s="253" t="s">
        <v>155</v>
      </c>
      <c r="C80" s="256">
        <f>SUM('EmissRates(EPA)'!J33:J34)</f>
        <v>0.25800000000000001</v>
      </c>
      <c r="D80" s="109">
        <v>2008</v>
      </c>
      <c r="E80" s="60"/>
      <c r="F80" s="236" t="s">
        <v>75</v>
      </c>
      <c r="G80" s="1232"/>
      <c r="H80" s="289"/>
    </row>
    <row r="81" spans="2:8" ht="9.75" customHeight="1" x14ac:dyDescent="0.25">
      <c r="B81" s="253"/>
      <c r="C81" s="256"/>
      <c r="D81" s="109"/>
      <c r="E81" s="60"/>
      <c r="F81" s="236"/>
      <c r="G81" s="288"/>
      <c r="H81" s="289"/>
    </row>
    <row r="82" spans="2:8" ht="18" customHeight="1" x14ac:dyDescent="0.25">
      <c r="B82" s="885" t="s">
        <v>173</v>
      </c>
      <c r="C82" s="256"/>
      <c r="D82" s="109"/>
      <c r="E82" s="60"/>
      <c r="F82" s="236"/>
      <c r="G82" s="288"/>
      <c r="H82" s="289"/>
    </row>
    <row r="83" spans="2:8" ht="18" customHeight="1" x14ac:dyDescent="0.25">
      <c r="B83" s="253" t="s">
        <v>37</v>
      </c>
      <c r="C83" s="292" t="s">
        <v>170</v>
      </c>
      <c r="D83" s="128">
        <v>2011</v>
      </c>
      <c r="E83" s="323"/>
      <c r="F83" s="236" t="s">
        <v>75</v>
      </c>
      <c r="G83" s="1232" t="s">
        <v>164</v>
      </c>
      <c r="H83" s="1233" t="s">
        <v>81</v>
      </c>
    </row>
    <row r="84" spans="2:8" ht="18" customHeight="1" x14ac:dyDescent="0.25">
      <c r="B84" s="253" t="s">
        <v>161</v>
      </c>
      <c r="C84" s="292" t="s">
        <v>170</v>
      </c>
      <c r="D84" s="128">
        <v>2011</v>
      </c>
      <c r="E84" s="323"/>
      <c r="F84" s="236" t="s">
        <v>75</v>
      </c>
      <c r="G84" s="1232"/>
      <c r="H84" s="1233"/>
    </row>
    <row r="85" spans="2:8" ht="18" customHeight="1" x14ac:dyDescent="0.25">
      <c r="B85" s="253" t="s">
        <v>77</v>
      </c>
      <c r="C85" s="292" t="s">
        <v>170</v>
      </c>
      <c r="D85" s="128">
        <v>2011</v>
      </c>
      <c r="E85" s="323"/>
      <c r="F85" s="236" t="s">
        <v>75</v>
      </c>
      <c r="G85" s="1232"/>
      <c r="H85" s="1233"/>
    </row>
    <row r="86" spans="2:8" ht="18" customHeight="1" x14ac:dyDescent="0.25">
      <c r="B86" s="253" t="s">
        <v>162</v>
      </c>
      <c r="C86" s="292" t="s">
        <v>170</v>
      </c>
      <c r="D86" s="128">
        <v>2011</v>
      </c>
      <c r="E86" s="323"/>
      <c r="F86" s="236" t="s">
        <v>75</v>
      </c>
      <c r="G86" s="1232" t="s">
        <v>165</v>
      </c>
      <c r="H86" s="1233"/>
    </row>
    <row r="87" spans="2:8" ht="18" customHeight="1" x14ac:dyDescent="0.25">
      <c r="B87" s="253" t="s">
        <v>163</v>
      </c>
      <c r="C87" s="292" t="s">
        <v>170</v>
      </c>
      <c r="D87" s="128">
        <v>2011</v>
      </c>
      <c r="E87" s="323"/>
      <c r="F87" s="236" t="s">
        <v>75</v>
      </c>
      <c r="G87" s="1232"/>
      <c r="H87" s="1233"/>
    </row>
    <row r="88" spans="2:8" ht="38.25" customHeight="1" x14ac:dyDescent="0.25">
      <c r="B88" s="253" t="s">
        <v>78</v>
      </c>
      <c r="C88" s="292" t="s">
        <v>170</v>
      </c>
      <c r="D88" s="128">
        <v>2011</v>
      </c>
      <c r="E88" s="323"/>
      <c r="F88" s="236" t="s">
        <v>75</v>
      </c>
      <c r="G88" s="1232"/>
      <c r="H88" s="1233"/>
    </row>
    <row r="89" spans="2:8" ht="18" customHeight="1" x14ac:dyDescent="0.25">
      <c r="B89" s="253"/>
      <c r="C89" s="256"/>
      <c r="D89" s="109"/>
      <c r="E89" s="60"/>
      <c r="F89" s="236"/>
      <c r="G89" s="288"/>
      <c r="H89" s="289"/>
    </row>
    <row r="90" spans="2:8" ht="18" customHeight="1" x14ac:dyDescent="0.25">
      <c r="B90" s="885" t="s">
        <v>173</v>
      </c>
      <c r="C90" s="256"/>
      <c r="D90" s="109"/>
      <c r="E90" s="60"/>
      <c r="F90" s="236"/>
      <c r="G90" s="288"/>
      <c r="H90" s="289"/>
    </row>
    <row r="91" spans="2:8" ht="18" customHeight="1" x14ac:dyDescent="0.25">
      <c r="B91" s="253" t="s">
        <v>37</v>
      </c>
      <c r="C91" s="292" t="s">
        <v>170</v>
      </c>
      <c r="D91" s="128">
        <v>2031</v>
      </c>
      <c r="E91" s="323"/>
      <c r="F91" s="236" t="s">
        <v>75</v>
      </c>
      <c r="G91" s="1232" t="s">
        <v>164</v>
      </c>
      <c r="H91" s="1233" t="s">
        <v>81</v>
      </c>
    </row>
    <row r="92" spans="2:8" ht="18" customHeight="1" x14ac:dyDescent="0.25">
      <c r="B92" s="253" t="s">
        <v>161</v>
      </c>
      <c r="C92" s="292" t="s">
        <v>170</v>
      </c>
      <c r="D92" s="128">
        <v>2031</v>
      </c>
      <c r="E92" s="323"/>
      <c r="F92" s="236" t="s">
        <v>75</v>
      </c>
      <c r="G92" s="1232"/>
      <c r="H92" s="1233"/>
    </row>
    <row r="93" spans="2:8" ht="18" customHeight="1" x14ac:dyDescent="0.25">
      <c r="B93" s="253" t="s">
        <v>77</v>
      </c>
      <c r="C93" s="292" t="s">
        <v>170</v>
      </c>
      <c r="D93" s="128">
        <v>2031</v>
      </c>
      <c r="E93" s="323"/>
      <c r="F93" s="236" t="s">
        <v>75</v>
      </c>
      <c r="G93" s="1232"/>
      <c r="H93" s="1233"/>
    </row>
    <row r="94" spans="2:8" ht="18" customHeight="1" x14ac:dyDescent="0.25">
      <c r="B94" s="253" t="s">
        <v>162</v>
      </c>
      <c r="C94" s="292" t="s">
        <v>170</v>
      </c>
      <c r="D94" s="128">
        <v>2031</v>
      </c>
      <c r="E94" s="323"/>
      <c r="F94" s="236" t="s">
        <v>75</v>
      </c>
      <c r="G94" s="1232" t="s">
        <v>165</v>
      </c>
      <c r="H94" s="1233"/>
    </row>
    <row r="95" spans="2:8" ht="18" customHeight="1" x14ac:dyDescent="0.25">
      <c r="B95" s="253" t="s">
        <v>163</v>
      </c>
      <c r="C95" s="292" t="s">
        <v>170</v>
      </c>
      <c r="D95" s="128">
        <v>2031</v>
      </c>
      <c r="E95" s="323"/>
      <c r="F95" s="236" t="s">
        <v>75</v>
      </c>
      <c r="G95" s="1232"/>
      <c r="H95" s="1233"/>
    </row>
    <row r="96" spans="2:8" ht="29.25" customHeight="1" x14ac:dyDescent="0.25">
      <c r="B96" s="253" t="s">
        <v>78</v>
      </c>
      <c r="C96" s="292" t="s">
        <v>170</v>
      </c>
      <c r="D96" s="128">
        <v>2031</v>
      </c>
      <c r="E96" s="323"/>
      <c r="F96" s="236" t="s">
        <v>75</v>
      </c>
      <c r="G96" s="1232"/>
      <c r="H96" s="1233"/>
    </row>
    <row r="97" spans="1:8" ht="18" customHeight="1" x14ac:dyDescent="0.25">
      <c r="B97" s="885" t="s">
        <v>168</v>
      </c>
      <c r="C97" s="256"/>
      <c r="D97" s="109"/>
      <c r="E97" s="60"/>
      <c r="F97" s="236"/>
      <c r="G97" s="288"/>
      <c r="H97" s="289"/>
    </row>
    <row r="98" spans="1:8" s="50" customFormat="1" ht="81.75" customHeight="1" x14ac:dyDescent="0.25">
      <c r="A98" s="74"/>
      <c r="B98" s="88" t="s">
        <v>24</v>
      </c>
      <c r="C98" s="293">
        <v>1844</v>
      </c>
      <c r="D98" s="128">
        <v>2015</v>
      </c>
      <c r="E98" s="293">
        <f>C98</f>
        <v>1844</v>
      </c>
      <c r="F98" s="240" t="s">
        <v>172</v>
      </c>
      <c r="G98" s="294" t="s">
        <v>301</v>
      </c>
      <c r="H98" s="886" t="s">
        <v>476</v>
      </c>
    </row>
    <row r="99" spans="1:8" x14ac:dyDescent="0.25">
      <c r="B99" s="297"/>
      <c r="C99" s="256"/>
      <c r="D99" s="256"/>
      <c r="E99" s="256"/>
      <c r="F99" s="256"/>
      <c r="G99" s="256"/>
      <c r="H99" s="298"/>
    </row>
    <row r="100" spans="1:8" s="50" customFormat="1" ht="76.5" x14ac:dyDescent="0.25">
      <c r="A100" s="74"/>
      <c r="B100" s="88" t="s">
        <v>25</v>
      </c>
      <c r="C100" s="293">
        <v>7266</v>
      </c>
      <c r="D100" s="128">
        <v>2015</v>
      </c>
      <c r="E100" s="293">
        <f>C100</f>
        <v>7266</v>
      </c>
      <c r="F100" s="240" t="s">
        <v>172</v>
      </c>
      <c r="G100" s="294" t="s">
        <v>467</v>
      </c>
      <c r="H100" s="886" t="s">
        <v>476</v>
      </c>
    </row>
    <row r="101" spans="1:8" s="50" customFormat="1" ht="76.5" x14ac:dyDescent="0.25">
      <c r="A101" s="74"/>
      <c r="B101" s="88" t="s">
        <v>26</v>
      </c>
      <c r="C101" s="293">
        <v>332405</v>
      </c>
      <c r="D101" s="128">
        <v>2015</v>
      </c>
      <c r="E101" s="293">
        <f>C101</f>
        <v>332405</v>
      </c>
      <c r="F101" s="240" t="s">
        <v>172</v>
      </c>
      <c r="G101" s="294" t="s">
        <v>302</v>
      </c>
      <c r="H101" s="886" t="s">
        <v>476</v>
      </c>
    </row>
    <row r="102" spans="1:8" s="50" customFormat="1" ht="76.5" x14ac:dyDescent="0.25">
      <c r="A102" s="74"/>
      <c r="B102" s="88" t="s">
        <v>27</v>
      </c>
      <c r="C102" s="293">
        <v>42947</v>
      </c>
      <c r="D102" s="128">
        <v>2015</v>
      </c>
      <c r="E102" s="293">
        <f>C102</f>
        <v>42947</v>
      </c>
      <c r="F102" s="240" t="s">
        <v>172</v>
      </c>
      <c r="G102" s="294" t="s">
        <v>302</v>
      </c>
      <c r="H102" s="886" t="s">
        <v>476</v>
      </c>
    </row>
    <row r="103" spans="1:8" s="50" customFormat="1" x14ac:dyDescent="0.25">
      <c r="A103" s="74"/>
      <c r="B103" s="88"/>
      <c r="C103" s="293"/>
      <c r="D103" s="128"/>
      <c r="E103" s="293"/>
      <c r="F103" s="240"/>
      <c r="G103" s="294"/>
      <c r="H103" s="289"/>
    </row>
    <row r="104" spans="1:8" s="50" customFormat="1" ht="12.75" customHeight="1" x14ac:dyDescent="0.25">
      <c r="A104" s="74"/>
      <c r="B104" s="88" t="s">
        <v>709</v>
      </c>
      <c r="C104" s="293">
        <v>41</v>
      </c>
      <c r="D104" s="128">
        <v>2015</v>
      </c>
      <c r="E104" s="293">
        <f>C104</f>
        <v>41</v>
      </c>
      <c r="F104" s="240" t="s">
        <v>171</v>
      </c>
      <c r="G104" s="1234" t="s">
        <v>303</v>
      </c>
      <c r="H104" s="1233" t="s">
        <v>476</v>
      </c>
    </row>
    <row r="105" spans="1:8" s="50" customFormat="1" ht="12.75" customHeight="1" x14ac:dyDescent="0.25">
      <c r="A105" s="74"/>
      <c r="B105" s="88"/>
      <c r="C105" s="293">
        <v>43</v>
      </c>
      <c r="D105" s="128">
        <f t="shared" ref="D105:D150" si="0">D104+1</f>
        <v>2016</v>
      </c>
      <c r="E105" s="293">
        <f t="shared" ref="E105:E139" si="1">C105</f>
        <v>43</v>
      </c>
      <c r="F105" s="240" t="s">
        <v>171</v>
      </c>
      <c r="G105" s="1234"/>
      <c r="H105" s="1233"/>
    </row>
    <row r="106" spans="1:8" s="50" customFormat="1" ht="12.75" customHeight="1" x14ac:dyDescent="0.25">
      <c r="A106" s="74"/>
      <c r="B106" s="88"/>
      <c r="C106" s="293">
        <v>44</v>
      </c>
      <c r="D106" s="128">
        <f t="shared" si="0"/>
        <v>2017</v>
      </c>
      <c r="E106" s="293">
        <f t="shared" si="1"/>
        <v>44</v>
      </c>
      <c r="F106" s="240" t="s">
        <v>171</v>
      </c>
      <c r="G106" s="1234"/>
      <c r="H106" s="1233"/>
    </row>
    <row r="107" spans="1:8" s="50" customFormat="1" ht="12.75" customHeight="1" x14ac:dyDescent="0.25">
      <c r="A107" s="74"/>
      <c r="B107" s="88"/>
      <c r="C107" s="293">
        <v>45</v>
      </c>
      <c r="D107" s="128">
        <f t="shared" si="0"/>
        <v>2018</v>
      </c>
      <c r="E107" s="293">
        <f t="shared" si="1"/>
        <v>45</v>
      </c>
      <c r="F107" s="240" t="s">
        <v>171</v>
      </c>
      <c r="G107" s="1234"/>
      <c r="H107" s="1233"/>
    </row>
    <row r="108" spans="1:8" s="50" customFormat="1" x14ac:dyDescent="0.25">
      <c r="A108" s="74"/>
      <c r="B108" s="88"/>
      <c r="C108" s="293">
        <v>46</v>
      </c>
      <c r="D108" s="128">
        <f t="shared" si="0"/>
        <v>2019</v>
      </c>
      <c r="E108" s="293">
        <f t="shared" si="1"/>
        <v>46</v>
      </c>
      <c r="F108" s="240" t="s">
        <v>171</v>
      </c>
      <c r="G108" s="1234"/>
      <c r="H108" s="1233"/>
    </row>
    <row r="109" spans="1:8" s="50" customFormat="1" x14ac:dyDescent="0.25">
      <c r="A109" s="74"/>
      <c r="B109" s="88"/>
      <c r="C109" s="293">
        <v>47</v>
      </c>
      <c r="D109" s="128">
        <f t="shared" si="0"/>
        <v>2020</v>
      </c>
      <c r="E109" s="293">
        <f t="shared" si="1"/>
        <v>47</v>
      </c>
      <c r="F109" s="240" t="s">
        <v>171</v>
      </c>
      <c r="G109" s="1234"/>
      <c r="H109" s="1233"/>
    </row>
    <row r="110" spans="1:8" s="50" customFormat="1" x14ac:dyDescent="0.25">
      <c r="A110" s="74"/>
      <c r="B110" s="88"/>
      <c r="C110" s="293">
        <v>47</v>
      </c>
      <c r="D110" s="128">
        <f t="shared" si="0"/>
        <v>2021</v>
      </c>
      <c r="E110" s="293">
        <f t="shared" si="1"/>
        <v>47</v>
      </c>
      <c r="F110" s="240" t="s">
        <v>171</v>
      </c>
      <c r="G110" s="1234"/>
      <c r="H110" s="1233"/>
    </row>
    <row r="111" spans="1:8" s="50" customFormat="1" x14ac:dyDescent="0.25">
      <c r="A111" s="74"/>
      <c r="B111" s="88"/>
      <c r="C111" s="293">
        <v>49</v>
      </c>
      <c r="D111" s="128">
        <f t="shared" si="0"/>
        <v>2022</v>
      </c>
      <c r="E111" s="293">
        <f t="shared" si="1"/>
        <v>49</v>
      </c>
      <c r="F111" s="240" t="s">
        <v>171</v>
      </c>
      <c r="G111" s="1234"/>
      <c r="H111" s="289"/>
    </row>
    <row r="112" spans="1:8" s="50" customFormat="1" x14ac:dyDescent="0.25">
      <c r="A112" s="74"/>
      <c r="B112" s="88"/>
      <c r="C112" s="293">
        <v>50</v>
      </c>
      <c r="D112" s="128">
        <f t="shared" si="0"/>
        <v>2023</v>
      </c>
      <c r="E112" s="293">
        <f t="shared" si="1"/>
        <v>50</v>
      </c>
      <c r="F112" s="240" t="s">
        <v>171</v>
      </c>
      <c r="G112" s="294"/>
      <c r="H112" s="289"/>
    </row>
    <row r="113" spans="1:8" s="50" customFormat="1" x14ac:dyDescent="0.25">
      <c r="A113" s="74"/>
      <c r="B113" s="88"/>
      <c r="C113" s="293">
        <v>51</v>
      </c>
      <c r="D113" s="128">
        <f t="shared" si="0"/>
        <v>2024</v>
      </c>
      <c r="E113" s="293">
        <f t="shared" si="1"/>
        <v>51</v>
      </c>
      <c r="F113" s="240" t="s">
        <v>171</v>
      </c>
      <c r="G113" s="294"/>
      <c r="H113" s="289" t="s">
        <v>475</v>
      </c>
    </row>
    <row r="114" spans="1:8" s="50" customFormat="1" x14ac:dyDescent="0.25">
      <c r="A114" s="74"/>
      <c r="B114" s="88"/>
      <c r="C114" s="293">
        <v>52</v>
      </c>
      <c r="D114" s="128">
        <f t="shared" si="0"/>
        <v>2025</v>
      </c>
      <c r="E114" s="293">
        <f t="shared" si="1"/>
        <v>52</v>
      </c>
      <c r="F114" s="240" t="s">
        <v>171</v>
      </c>
      <c r="G114" s="294"/>
      <c r="H114" s="289"/>
    </row>
    <row r="115" spans="1:8" s="50" customFormat="1" x14ac:dyDescent="0.25">
      <c r="A115" s="74"/>
      <c r="B115" s="88"/>
      <c r="C115" s="293">
        <v>53</v>
      </c>
      <c r="D115" s="128">
        <f t="shared" si="0"/>
        <v>2026</v>
      </c>
      <c r="E115" s="293">
        <f t="shared" si="1"/>
        <v>53</v>
      </c>
      <c r="F115" s="240" t="s">
        <v>171</v>
      </c>
      <c r="G115" s="294"/>
      <c r="H115" s="289"/>
    </row>
    <row r="116" spans="1:8" s="50" customFormat="1" x14ac:dyDescent="0.25">
      <c r="A116" s="74"/>
      <c r="B116" s="88"/>
      <c r="C116" s="293">
        <v>54</v>
      </c>
      <c r="D116" s="128">
        <f t="shared" si="0"/>
        <v>2027</v>
      </c>
      <c r="E116" s="293">
        <f t="shared" si="1"/>
        <v>54</v>
      </c>
      <c r="F116" s="240" t="s">
        <v>171</v>
      </c>
      <c r="G116" s="294"/>
      <c r="H116" s="289"/>
    </row>
    <row r="117" spans="1:8" s="50" customFormat="1" x14ac:dyDescent="0.25">
      <c r="A117" s="74"/>
      <c r="B117" s="88"/>
      <c r="C117" s="293">
        <v>55</v>
      </c>
      <c r="D117" s="128">
        <f t="shared" si="0"/>
        <v>2028</v>
      </c>
      <c r="E117" s="293">
        <f t="shared" si="1"/>
        <v>55</v>
      </c>
      <c r="F117" s="240" t="s">
        <v>171</v>
      </c>
      <c r="G117" s="294"/>
      <c r="H117" s="289"/>
    </row>
    <row r="118" spans="1:8" s="50" customFormat="1" x14ac:dyDescent="0.25">
      <c r="A118" s="74"/>
      <c r="B118" s="88"/>
      <c r="C118" s="293">
        <v>55</v>
      </c>
      <c r="D118" s="128">
        <f t="shared" si="0"/>
        <v>2029</v>
      </c>
      <c r="E118" s="293">
        <f t="shared" si="1"/>
        <v>55</v>
      </c>
      <c r="F118" s="240" t="s">
        <v>171</v>
      </c>
      <c r="G118" s="294"/>
      <c r="H118" s="289"/>
    </row>
    <row r="119" spans="1:8" s="50" customFormat="1" x14ac:dyDescent="0.25">
      <c r="A119" s="74"/>
      <c r="B119" s="88"/>
      <c r="C119" s="293">
        <v>57</v>
      </c>
      <c r="D119" s="128">
        <f t="shared" si="0"/>
        <v>2030</v>
      </c>
      <c r="E119" s="293">
        <f t="shared" si="1"/>
        <v>57</v>
      </c>
      <c r="F119" s="240" t="s">
        <v>171</v>
      </c>
      <c r="G119" s="294"/>
      <c r="H119" s="289"/>
    </row>
    <row r="120" spans="1:8" s="50" customFormat="1" x14ac:dyDescent="0.25">
      <c r="A120" s="74"/>
      <c r="B120" s="88"/>
      <c r="C120" s="293">
        <v>58</v>
      </c>
      <c r="D120" s="128">
        <f t="shared" si="0"/>
        <v>2031</v>
      </c>
      <c r="E120" s="293">
        <f t="shared" si="1"/>
        <v>58</v>
      </c>
      <c r="F120" s="240" t="s">
        <v>171</v>
      </c>
      <c r="G120" s="294"/>
      <c r="H120" s="289"/>
    </row>
    <row r="121" spans="1:8" s="50" customFormat="1" x14ac:dyDescent="0.25">
      <c r="A121" s="74"/>
      <c r="B121" s="88"/>
      <c r="C121" s="293">
        <v>59</v>
      </c>
      <c r="D121" s="128">
        <f t="shared" si="0"/>
        <v>2032</v>
      </c>
      <c r="E121" s="293">
        <f t="shared" si="1"/>
        <v>59</v>
      </c>
      <c r="F121" s="240" t="s">
        <v>171</v>
      </c>
      <c r="G121" s="294"/>
      <c r="H121" s="289"/>
    </row>
    <row r="122" spans="1:8" s="50" customFormat="1" x14ac:dyDescent="0.25">
      <c r="A122" s="74"/>
      <c r="B122" s="88"/>
      <c r="C122" s="293">
        <v>60</v>
      </c>
      <c r="D122" s="128">
        <f t="shared" si="0"/>
        <v>2033</v>
      </c>
      <c r="E122" s="293">
        <f t="shared" si="1"/>
        <v>60</v>
      </c>
      <c r="F122" s="240" t="s">
        <v>171</v>
      </c>
      <c r="G122" s="294"/>
      <c r="H122" s="289"/>
    </row>
    <row r="123" spans="1:8" s="50" customFormat="1" x14ac:dyDescent="0.25">
      <c r="A123" s="74"/>
      <c r="B123" s="88"/>
      <c r="C123" s="293">
        <v>61</v>
      </c>
      <c r="D123" s="128">
        <f t="shared" si="0"/>
        <v>2034</v>
      </c>
      <c r="E123" s="293">
        <f t="shared" si="1"/>
        <v>61</v>
      </c>
      <c r="F123" s="240" t="s">
        <v>171</v>
      </c>
      <c r="G123" s="294"/>
      <c r="H123" s="289"/>
    </row>
    <row r="124" spans="1:8" s="50" customFormat="1" x14ac:dyDescent="0.25">
      <c r="A124" s="74"/>
      <c r="B124" s="88"/>
      <c r="C124" s="293">
        <v>62</v>
      </c>
      <c r="D124" s="128">
        <f t="shared" si="0"/>
        <v>2035</v>
      </c>
      <c r="E124" s="293">
        <f t="shared" si="1"/>
        <v>62</v>
      </c>
      <c r="F124" s="240" t="s">
        <v>171</v>
      </c>
      <c r="G124" s="294"/>
      <c r="H124" s="289"/>
    </row>
    <row r="125" spans="1:8" s="50" customFormat="1" x14ac:dyDescent="0.25">
      <c r="A125" s="74"/>
      <c r="B125" s="88"/>
      <c r="C125" s="293">
        <v>63</v>
      </c>
      <c r="D125" s="128">
        <f t="shared" si="0"/>
        <v>2036</v>
      </c>
      <c r="E125" s="293">
        <f t="shared" si="1"/>
        <v>63</v>
      </c>
      <c r="F125" s="240" t="s">
        <v>171</v>
      </c>
      <c r="G125" s="294"/>
      <c r="H125" s="289"/>
    </row>
    <row r="126" spans="1:8" s="50" customFormat="1" x14ac:dyDescent="0.25">
      <c r="A126" s="74"/>
      <c r="B126" s="88"/>
      <c r="C126" s="293">
        <v>64</v>
      </c>
      <c r="D126" s="128">
        <f t="shared" si="0"/>
        <v>2037</v>
      </c>
      <c r="E126" s="293">
        <f t="shared" si="1"/>
        <v>64</v>
      </c>
      <c r="F126" s="240" t="s">
        <v>171</v>
      </c>
      <c r="G126" s="294"/>
      <c r="H126" s="289"/>
    </row>
    <row r="127" spans="1:8" s="50" customFormat="1" x14ac:dyDescent="0.25">
      <c r="A127" s="74"/>
      <c r="B127" s="88"/>
      <c r="C127" s="293">
        <v>65</v>
      </c>
      <c r="D127" s="128">
        <f t="shared" si="0"/>
        <v>2038</v>
      </c>
      <c r="E127" s="293">
        <f t="shared" si="1"/>
        <v>65</v>
      </c>
      <c r="F127" s="240" t="s">
        <v>171</v>
      </c>
      <c r="G127" s="294"/>
      <c r="H127" s="289"/>
    </row>
    <row r="128" spans="1:8" s="50" customFormat="1" x14ac:dyDescent="0.25">
      <c r="A128" s="74"/>
      <c r="B128" s="88"/>
      <c r="C128" s="293">
        <v>67</v>
      </c>
      <c r="D128" s="128">
        <f t="shared" si="0"/>
        <v>2039</v>
      </c>
      <c r="E128" s="293">
        <f t="shared" si="1"/>
        <v>67</v>
      </c>
      <c r="F128" s="240" t="s">
        <v>171</v>
      </c>
      <c r="G128" s="294"/>
      <c r="H128" s="289"/>
    </row>
    <row r="129" spans="1:8" s="50" customFormat="1" x14ac:dyDescent="0.25">
      <c r="A129" s="74"/>
      <c r="B129" s="88"/>
      <c r="C129" s="293">
        <v>68</v>
      </c>
      <c r="D129" s="128">
        <f t="shared" si="0"/>
        <v>2040</v>
      </c>
      <c r="E129" s="293">
        <f t="shared" si="1"/>
        <v>68</v>
      </c>
      <c r="F129" s="240" t="s">
        <v>171</v>
      </c>
      <c r="G129" s="294"/>
      <c r="H129" s="289"/>
    </row>
    <row r="130" spans="1:8" s="50" customFormat="1" x14ac:dyDescent="0.25">
      <c r="A130" s="74"/>
      <c r="B130" s="88"/>
      <c r="C130" s="293">
        <v>69</v>
      </c>
      <c r="D130" s="128">
        <f t="shared" si="0"/>
        <v>2041</v>
      </c>
      <c r="E130" s="293">
        <f t="shared" si="1"/>
        <v>69</v>
      </c>
      <c r="F130" s="240" t="s">
        <v>171</v>
      </c>
      <c r="G130" s="294"/>
      <c r="H130" s="942"/>
    </row>
    <row r="131" spans="1:8" s="50" customFormat="1" x14ac:dyDescent="0.25">
      <c r="A131" s="74"/>
      <c r="B131" s="88"/>
      <c r="C131" s="293">
        <v>69</v>
      </c>
      <c r="D131" s="128">
        <f t="shared" si="0"/>
        <v>2042</v>
      </c>
      <c r="E131" s="293">
        <f t="shared" si="1"/>
        <v>69</v>
      </c>
      <c r="F131" s="240" t="s">
        <v>171</v>
      </c>
      <c r="G131" s="294"/>
      <c r="H131" s="942"/>
    </row>
    <row r="132" spans="1:8" s="50" customFormat="1" x14ac:dyDescent="0.25">
      <c r="A132" s="74"/>
      <c r="B132" s="88"/>
      <c r="C132" s="293">
        <v>70</v>
      </c>
      <c r="D132" s="128">
        <f t="shared" si="0"/>
        <v>2043</v>
      </c>
      <c r="E132" s="293">
        <f t="shared" si="1"/>
        <v>70</v>
      </c>
      <c r="F132" s="240" t="s">
        <v>171</v>
      </c>
      <c r="G132" s="294"/>
      <c r="H132" s="942"/>
    </row>
    <row r="133" spans="1:8" s="50" customFormat="1" x14ac:dyDescent="0.25">
      <c r="A133" s="74"/>
      <c r="B133" s="88"/>
      <c r="C133" s="293">
        <v>71</v>
      </c>
      <c r="D133" s="128">
        <f t="shared" si="0"/>
        <v>2044</v>
      </c>
      <c r="E133" s="293">
        <f t="shared" si="1"/>
        <v>71</v>
      </c>
      <c r="F133" s="240" t="s">
        <v>171</v>
      </c>
      <c r="G133" s="294"/>
      <c r="H133" s="942"/>
    </row>
    <row r="134" spans="1:8" s="50" customFormat="1" x14ac:dyDescent="0.25">
      <c r="A134" s="74"/>
      <c r="B134" s="88"/>
      <c r="C134" s="293">
        <v>72</v>
      </c>
      <c r="D134" s="128">
        <f t="shared" si="0"/>
        <v>2045</v>
      </c>
      <c r="E134" s="293">
        <f t="shared" si="1"/>
        <v>72</v>
      </c>
      <c r="F134" s="240" t="s">
        <v>171</v>
      </c>
      <c r="G134" s="294"/>
      <c r="H134" s="942"/>
    </row>
    <row r="135" spans="1:8" s="50" customFormat="1" x14ac:dyDescent="0.25">
      <c r="A135" s="74"/>
      <c r="B135" s="88"/>
      <c r="C135" s="293">
        <v>73</v>
      </c>
      <c r="D135" s="128">
        <f t="shared" si="0"/>
        <v>2046</v>
      </c>
      <c r="E135" s="293">
        <f t="shared" si="1"/>
        <v>73</v>
      </c>
      <c r="F135" s="240" t="s">
        <v>171</v>
      </c>
      <c r="G135" s="294"/>
      <c r="H135" s="942"/>
    </row>
    <row r="136" spans="1:8" s="50" customFormat="1" x14ac:dyDescent="0.25">
      <c r="A136" s="74"/>
      <c r="B136" s="88"/>
      <c r="C136" s="293">
        <v>75</v>
      </c>
      <c r="D136" s="128">
        <f t="shared" si="0"/>
        <v>2047</v>
      </c>
      <c r="E136" s="293">
        <f t="shared" si="1"/>
        <v>75</v>
      </c>
      <c r="F136" s="240" t="s">
        <v>171</v>
      </c>
      <c r="G136" s="294"/>
      <c r="H136" s="942"/>
    </row>
    <row r="137" spans="1:8" s="50" customFormat="1" x14ac:dyDescent="0.25">
      <c r="A137" s="74"/>
      <c r="B137" s="88"/>
      <c r="C137" s="293">
        <v>76</v>
      </c>
      <c r="D137" s="128">
        <f t="shared" si="0"/>
        <v>2048</v>
      </c>
      <c r="E137" s="293">
        <f t="shared" si="1"/>
        <v>76</v>
      </c>
      <c r="F137" s="240" t="s">
        <v>171</v>
      </c>
      <c r="G137" s="294"/>
      <c r="H137" s="942"/>
    </row>
    <row r="138" spans="1:8" s="50" customFormat="1" x14ac:dyDescent="0.25">
      <c r="A138" s="74"/>
      <c r="B138" s="88"/>
      <c r="C138" s="293">
        <v>77</v>
      </c>
      <c r="D138" s="128">
        <f t="shared" si="0"/>
        <v>2049</v>
      </c>
      <c r="E138" s="293">
        <f t="shared" si="1"/>
        <v>77</v>
      </c>
      <c r="F138" s="240" t="s">
        <v>171</v>
      </c>
      <c r="G138" s="294"/>
      <c r="H138" s="942"/>
    </row>
    <row r="139" spans="1:8" s="50" customFormat="1" x14ac:dyDescent="0.25">
      <c r="A139" s="74"/>
      <c r="B139" s="88"/>
      <c r="C139" s="293">
        <v>78</v>
      </c>
      <c r="D139" s="128">
        <f t="shared" si="0"/>
        <v>2050</v>
      </c>
      <c r="E139" s="293">
        <f t="shared" si="1"/>
        <v>78</v>
      </c>
      <c r="F139" s="240" t="s">
        <v>171</v>
      </c>
      <c r="G139" s="294"/>
      <c r="H139" s="942"/>
    </row>
    <row r="140" spans="1:8" s="50" customFormat="1" x14ac:dyDescent="0.25">
      <c r="A140" s="74"/>
      <c r="B140" s="88"/>
      <c r="C140" s="293">
        <f>C139*($C$139/$C$104)^(1/($D$139-$D$104))</f>
        <v>79.44652570414371</v>
      </c>
      <c r="D140" s="128">
        <f t="shared" si="0"/>
        <v>2051</v>
      </c>
      <c r="E140" s="293">
        <f t="shared" ref="E140:E150" si="2">C140</f>
        <v>79.44652570414371</v>
      </c>
      <c r="F140" s="240" t="s">
        <v>171</v>
      </c>
      <c r="G140" s="1235" t="s">
        <v>708</v>
      </c>
      <c r="H140" s="942"/>
    </row>
    <row r="141" spans="1:8" s="50" customFormat="1" x14ac:dyDescent="0.25">
      <c r="A141" s="74"/>
      <c r="B141" s="88"/>
      <c r="C141" s="293">
        <f t="shared" ref="C141:C150" si="3">C140*($C$139/$C$104)^(1/($D$139-$D$104))</f>
        <v>80.919877518707267</v>
      </c>
      <c r="D141" s="128">
        <f t="shared" si="0"/>
        <v>2052</v>
      </c>
      <c r="E141" s="293">
        <f t="shared" si="2"/>
        <v>80.919877518707267</v>
      </c>
      <c r="F141" s="240" t="s">
        <v>171</v>
      </c>
      <c r="G141" s="1235"/>
      <c r="H141" s="942"/>
    </row>
    <row r="142" spans="1:8" s="50" customFormat="1" x14ac:dyDescent="0.25">
      <c r="A142" s="74"/>
      <c r="B142" s="88"/>
      <c r="C142" s="293">
        <f t="shared" si="3"/>
        <v>82.420552939309445</v>
      </c>
      <c r="D142" s="128">
        <f t="shared" si="0"/>
        <v>2053</v>
      </c>
      <c r="E142" s="293">
        <f t="shared" si="2"/>
        <v>82.420552939309445</v>
      </c>
      <c r="F142" s="240" t="s">
        <v>171</v>
      </c>
      <c r="G142" s="1235"/>
      <c r="H142" s="942"/>
    </row>
    <row r="143" spans="1:8" s="50" customFormat="1" x14ac:dyDescent="0.25">
      <c r="A143" s="74"/>
      <c r="B143" s="88"/>
      <c r="C143" s="293">
        <f t="shared" si="3"/>
        <v>83.94905868772544</v>
      </c>
      <c r="D143" s="128">
        <f t="shared" si="0"/>
        <v>2054</v>
      </c>
      <c r="E143" s="293">
        <f t="shared" si="2"/>
        <v>83.94905868772544</v>
      </c>
      <c r="F143" s="240" t="s">
        <v>171</v>
      </c>
      <c r="G143" s="1235"/>
      <c r="H143" s="942"/>
    </row>
    <row r="144" spans="1:8" s="50" customFormat="1" x14ac:dyDescent="0.25">
      <c r="A144" s="74"/>
      <c r="B144" s="88"/>
      <c r="C144" s="293">
        <f t="shared" si="3"/>
        <v>85.505910882987791</v>
      </c>
      <c r="D144" s="128">
        <f t="shared" si="0"/>
        <v>2055</v>
      </c>
      <c r="E144" s="293">
        <f t="shared" si="2"/>
        <v>85.505910882987791</v>
      </c>
      <c r="F144" s="240" t="s">
        <v>171</v>
      </c>
      <c r="G144" s="1235"/>
      <c r="H144" s="942"/>
    </row>
    <row r="145" spans="1:8" s="50" customFormat="1" x14ac:dyDescent="0.25">
      <c r="A145" s="74"/>
      <c r="B145" s="88"/>
      <c r="C145" s="293">
        <f t="shared" si="3"/>
        <v>87.091635215660389</v>
      </c>
      <c r="D145" s="128">
        <f t="shared" si="0"/>
        <v>2056</v>
      </c>
      <c r="E145" s="293">
        <f t="shared" si="2"/>
        <v>87.091635215660389</v>
      </c>
      <c r="F145" s="240" t="s">
        <v>171</v>
      </c>
      <c r="G145" s="1235"/>
      <c r="H145" s="942"/>
    </row>
    <row r="146" spans="1:8" s="50" customFormat="1" x14ac:dyDescent="0.25">
      <c r="A146" s="74"/>
      <c r="B146" s="88"/>
      <c r="C146" s="293">
        <f t="shared" si="3"/>
        <v>88.706767125344484</v>
      </c>
      <c r="D146" s="128">
        <f t="shared" si="0"/>
        <v>2057</v>
      </c>
      <c r="E146" s="293">
        <f t="shared" si="2"/>
        <v>88.706767125344484</v>
      </c>
      <c r="F146" s="240" t="s">
        <v>171</v>
      </c>
      <c r="G146" s="1235"/>
      <c r="H146" s="942"/>
    </row>
    <row r="147" spans="1:8" s="50" customFormat="1" x14ac:dyDescent="0.25">
      <c r="A147" s="74"/>
      <c r="B147" s="88"/>
      <c r="C147" s="293">
        <f t="shared" si="3"/>
        <v>90.351851981476543</v>
      </c>
      <c r="D147" s="128">
        <f t="shared" si="0"/>
        <v>2058</v>
      </c>
      <c r="E147" s="293">
        <f t="shared" si="2"/>
        <v>90.351851981476543</v>
      </c>
      <c r="F147" s="240" t="s">
        <v>171</v>
      </c>
      <c r="G147" s="1235"/>
      <c r="H147" s="942"/>
    </row>
    <row r="148" spans="1:8" s="50" customFormat="1" x14ac:dyDescent="0.25">
      <c r="A148" s="74"/>
      <c r="B148" s="88"/>
      <c r="C148" s="293">
        <f t="shared" si="3"/>
        <v>92.02744526747901</v>
      </c>
      <c r="D148" s="128">
        <f t="shared" si="0"/>
        <v>2059</v>
      </c>
      <c r="E148" s="293">
        <f t="shared" si="2"/>
        <v>92.02744526747901</v>
      </c>
      <c r="F148" s="240" t="s">
        <v>171</v>
      </c>
      <c r="G148" s="1235"/>
      <c r="H148" s="942"/>
    </row>
    <row r="149" spans="1:8" s="50" customFormat="1" x14ac:dyDescent="0.25">
      <c r="A149" s="74"/>
      <c r="B149" s="88"/>
      <c r="C149" s="293">
        <f t="shared" si="3"/>
        <v>93.73411276832627</v>
      </c>
      <c r="D149" s="128">
        <f t="shared" si="0"/>
        <v>2060</v>
      </c>
      <c r="E149" s="293">
        <f t="shared" si="2"/>
        <v>93.73411276832627</v>
      </c>
      <c r="F149" s="240" t="s">
        <v>171</v>
      </c>
      <c r="G149" s="1235"/>
      <c r="H149" s="942"/>
    </row>
    <row r="150" spans="1:8" s="50" customFormat="1" x14ac:dyDescent="0.25">
      <c r="A150" s="74"/>
      <c r="B150" s="88"/>
      <c r="C150" s="293">
        <f t="shared" si="3"/>
        <v>95.472430761588939</v>
      </c>
      <c r="D150" s="128">
        <f t="shared" si="0"/>
        <v>2061</v>
      </c>
      <c r="E150" s="293">
        <f t="shared" si="2"/>
        <v>95.472430761588939</v>
      </c>
      <c r="F150" s="240" t="s">
        <v>171</v>
      </c>
      <c r="G150" s="1235"/>
      <c r="H150" s="942"/>
    </row>
    <row r="151" spans="1:8" s="50" customFormat="1" x14ac:dyDescent="0.25">
      <c r="A151" s="74"/>
      <c r="B151" s="88"/>
      <c r="C151" s="293"/>
      <c r="D151" s="128"/>
      <c r="E151" s="293"/>
      <c r="F151" s="240"/>
      <c r="G151" s="294"/>
      <c r="H151" s="895"/>
    </row>
    <row r="152" spans="1:8" s="50" customFormat="1" x14ac:dyDescent="0.25">
      <c r="A152" s="74"/>
      <c r="B152" s="88" t="s">
        <v>504</v>
      </c>
      <c r="C152" s="293"/>
      <c r="D152" s="128"/>
      <c r="E152" s="293">
        <v>1000000</v>
      </c>
      <c r="F152" s="240"/>
      <c r="G152" s="294"/>
      <c r="H152" s="895"/>
    </row>
    <row r="153" spans="1:8" s="50" customFormat="1" x14ac:dyDescent="0.25">
      <c r="A153" s="74"/>
      <c r="B153" s="88" t="s">
        <v>505</v>
      </c>
      <c r="C153" s="293"/>
      <c r="D153" s="128"/>
      <c r="E153" s="70">
        <v>907184.7</v>
      </c>
      <c r="F153" s="240"/>
      <c r="G153" s="294"/>
      <c r="H153" s="895"/>
    </row>
    <row r="154" spans="1:8" s="50" customFormat="1" ht="13.5" thickBot="1" x14ac:dyDescent="0.3">
      <c r="A154" s="53"/>
      <c r="B154" s="129"/>
      <c r="C154" s="111"/>
      <c r="D154" s="130"/>
      <c r="E154" s="131"/>
      <c r="F154" s="241"/>
      <c r="G154" s="91"/>
      <c r="H154" s="92"/>
    </row>
    <row r="155" spans="1:8" s="50" customFormat="1" ht="13.5" thickBot="1" x14ac:dyDescent="0.3">
      <c r="A155" s="53"/>
      <c r="D155" s="95"/>
      <c r="F155" s="230"/>
    </row>
    <row r="156" spans="1:8" s="50" customFormat="1" ht="16.5" thickBot="1" x14ac:dyDescent="0.3">
      <c r="A156" s="53"/>
      <c r="B156" s="198" t="s">
        <v>18</v>
      </c>
      <c r="C156" s="75"/>
      <c r="D156" s="132"/>
      <c r="E156" s="75"/>
      <c r="F156" s="242"/>
      <c r="G156" s="76"/>
      <c r="H156" s="77"/>
    </row>
    <row r="157" spans="1:8" s="50" customFormat="1" x14ac:dyDescent="0.25">
      <c r="A157" s="53"/>
      <c r="B157" s="913"/>
      <c r="C157" s="914"/>
      <c r="D157" s="118"/>
      <c r="E157" s="914"/>
      <c r="F157" s="915"/>
      <c r="G157" s="916"/>
      <c r="H157" s="917"/>
    </row>
    <row r="158" spans="1:8" s="50" customFormat="1" ht="13.5" customHeight="1" x14ac:dyDescent="0.25">
      <c r="A158" s="53"/>
      <c r="B158" s="302" t="s">
        <v>368</v>
      </c>
      <c r="C158" s="300">
        <v>9600000</v>
      </c>
      <c r="D158" s="122">
        <v>2015</v>
      </c>
      <c r="E158" s="300">
        <f>C158</f>
        <v>9600000</v>
      </c>
      <c r="F158" s="243" t="s">
        <v>11</v>
      </c>
      <c r="G158" s="1231" t="s">
        <v>290</v>
      </c>
      <c r="H158" s="1230" t="s">
        <v>476</v>
      </c>
    </row>
    <row r="159" spans="1:8" s="50" customFormat="1" ht="13.5" customHeight="1" x14ac:dyDescent="0.25">
      <c r="A159" s="53"/>
      <c r="B159" s="56"/>
      <c r="C159" s="300"/>
      <c r="D159" s="122"/>
      <c r="E159" s="300"/>
      <c r="F159" s="243"/>
      <c r="G159" s="1231"/>
      <c r="H159" s="1230"/>
    </row>
    <row r="160" spans="1:8" s="50" customFormat="1" ht="25.5" customHeight="1" x14ac:dyDescent="0.25">
      <c r="A160" s="53"/>
      <c r="B160" s="56"/>
      <c r="C160" s="300"/>
      <c r="D160" s="122"/>
      <c r="E160" s="300"/>
      <c r="F160" s="243"/>
      <c r="G160" s="1231"/>
      <c r="H160" s="1230"/>
    </row>
    <row r="161" spans="1:48" s="50" customFormat="1" ht="25.5" customHeight="1" x14ac:dyDescent="0.25">
      <c r="A161" s="53"/>
      <c r="B161" s="56"/>
      <c r="C161" s="300"/>
      <c r="D161" s="122"/>
      <c r="E161" s="300"/>
      <c r="F161" s="243"/>
      <c r="G161" s="65" t="s">
        <v>174</v>
      </c>
      <c r="H161" s="81" t="s">
        <v>175</v>
      </c>
    </row>
    <row r="162" spans="1:48" s="50" customFormat="1" ht="15.75" customHeight="1" x14ac:dyDescent="0.25">
      <c r="A162" s="53"/>
      <c r="B162" s="56"/>
      <c r="C162" s="300"/>
      <c r="D162" s="122"/>
      <c r="E162" s="300"/>
      <c r="F162" s="243"/>
      <c r="G162" s="65"/>
      <c r="H162" s="81"/>
    </row>
    <row r="163" spans="1:48" s="50" customFormat="1" ht="17.25" customHeight="1" x14ac:dyDescent="0.25">
      <c r="A163" s="53"/>
      <c r="B163" s="302" t="s">
        <v>268</v>
      </c>
      <c r="C163" s="300"/>
      <c r="D163" s="122"/>
      <c r="E163" s="300"/>
      <c r="F163" s="243"/>
      <c r="G163" s="243"/>
      <c r="H163" s="491"/>
    </row>
    <row r="164" spans="1:48" s="50" customFormat="1" ht="13.5" customHeight="1" x14ac:dyDescent="0.25">
      <c r="A164" s="53"/>
      <c r="B164" s="56" t="s">
        <v>254</v>
      </c>
      <c r="C164" s="299">
        <v>0</v>
      </c>
      <c r="D164" s="122"/>
      <c r="E164" s="184"/>
      <c r="F164" s="229"/>
      <c r="G164" s="1231" t="s">
        <v>290</v>
      </c>
      <c r="H164" s="1230" t="s">
        <v>476</v>
      </c>
    </row>
    <row r="165" spans="1:48" s="50" customFormat="1" ht="15" customHeight="1" x14ac:dyDescent="0.25">
      <c r="A165" s="53"/>
      <c r="B165" s="56" t="s">
        <v>255</v>
      </c>
      <c r="C165" s="184">
        <f>0.003</f>
        <v>3.0000000000000001E-3</v>
      </c>
      <c r="D165" s="122"/>
      <c r="E165" s="184"/>
      <c r="F165" s="229"/>
      <c r="G165" s="1231"/>
      <c r="H165" s="1230"/>
    </row>
    <row r="166" spans="1:48" s="50" customFormat="1" ht="13.5" customHeight="1" x14ac:dyDescent="0.25">
      <c r="A166" s="53"/>
      <c r="B166" s="56" t="s">
        <v>256</v>
      </c>
      <c r="C166" s="184">
        <f>0.047</f>
        <v>4.7E-2</v>
      </c>
      <c r="D166" s="122"/>
      <c r="E166" s="184"/>
      <c r="F166" s="229"/>
      <c r="G166" s="1231"/>
      <c r="H166" s="1230"/>
    </row>
    <row r="167" spans="1:48" s="50" customFormat="1" ht="13.5" customHeight="1" x14ac:dyDescent="0.25">
      <c r="A167" s="53"/>
      <c r="B167" s="56" t="s">
        <v>257</v>
      </c>
      <c r="C167" s="184">
        <f>0.105</f>
        <v>0.105</v>
      </c>
      <c r="D167" s="122"/>
      <c r="E167" s="184"/>
      <c r="F167" s="229"/>
      <c r="G167" s="1237" t="s">
        <v>174</v>
      </c>
      <c r="H167" s="1230" t="s">
        <v>175</v>
      </c>
    </row>
    <row r="168" spans="1:48" s="50" customFormat="1" ht="13.5" customHeight="1" x14ac:dyDescent="0.25">
      <c r="A168" s="53"/>
      <c r="B168" s="56" t="s">
        <v>258</v>
      </c>
      <c r="C168" s="184">
        <f>0.266</f>
        <v>0.26600000000000001</v>
      </c>
      <c r="D168" s="122"/>
      <c r="E168" s="184"/>
      <c r="F168" s="229"/>
      <c r="G168" s="1237"/>
      <c r="H168" s="1230"/>
    </row>
    <row r="169" spans="1:48" s="50" customFormat="1" ht="13.5" customHeight="1" x14ac:dyDescent="0.25">
      <c r="A169" s="53"/>
      <c r="B169" s="56" t="s">
        <v>259</v>
      </c>
      <c r="C169" s="184">
        <f>0.593</f>
        <v>0.59299999999999997</v>
      </c>
      <c r="D169" s="122"/>
      <c r="E169" s="184"/>
      <c r="F169" s="229"/>
      <c r="G169" s="1237"/>
      <c r="H169" s="1230"/>
    </row>
    <row r="170" spans="1:48" s="50" customFormat="1" ht="13.5" customHeight="1" x14ac:dyDescent="0.25">
      <c r="A170" s="53"/>
      <c r="B170" s="56" t="s">
        <v>260</v>
      </c>
      <c r="C170" s="184">
        <v>1</v>
      </c>
      <c r="D170" s="122"/>
      <c r="E170" s="184"/>
      <c r="F170" s="229"/>
      <c r="G170" s="1237"/>
      <c r="H170" s="81"/>
    </row>
    <row r="171" spans="1:48" s="50" customFormat="1" ht="13.5" customHeight="1" x14ac:dyDescent="0.25">
      <c r="A171" s="53"/>
      <c r="B171" s="56"/>
      <c r="C171" s="184"/>
      <c r="D171" s="122"/>
      <c r="E171" s="184"/>
      <c r="F171" s="229"/>
      <c r="G171" s="229"/>
      <c r="H171" s="81"/>
      <c r="AH171" s="437"/>
      <c r="AI171" s="437"/>
      <c r="AJ171" s="437"/>
      <c r="AK171" s="437"/>
      <c r="AL171" s="437"/>
      <c r="AM171" s="437"/>
      <c r="AN171" s="437"/>
      <c r="AO171" s="437"/>
      <c r="AP171" s="437"/>
      <c r="AQ171" s="437"/>
      <c r="AR171" s="437"/>
      <c r="AS171" s="437"/>
      <c r="AT171" s="437"/>
    </row>
    <row r="172" spans="1:48" s="50" customFormat="1" ht="13.5" customHeight="1" x14ac:dyDescent="0.25">
      <c r="A172" s="53"/>
      <c r="B172" s="302" t="s">
        <v>269</v>
      </c>
      <c r="C172" s="187"/>
      <c r="D172" s="122"/>
      <c r="E172" s="65"/>
      <c r="F172" s="229"/>
      <c r="G172" s="65"/>
      <c r="H172" s="81"/>
      <c r="I172" s="437"/>
      <c r="J172" s="437"/>
      <c r="K172" s="437"/>
      <c r="L172" s="437"/>
      <c r="M172" s="437"/>
      <c r="N172" s="437"/>
      <c r="O172" s="437"/>
      <c r="P172" s="437"/>
      <c r="Q172" s="437"/>
      <c r="R172" s="437"/>
      <c r="S172" s="437"/>
      <c r="T172" s="437"/>
      <c r="U172" s="437"/>
      <c r="V172" s="437"/>
      <c r="W172" s="437"/>
      <c r="X172" s="437"/>
      <c r="Y172" s="437"/>
      <c r="Z172" s="437"/>
      <c r="AA172" s="437"/>
      <c r="AB172" s="437"/>
      <c r="AC172" s="437"/>
      <c r="AD172" s="437"/>
      <c r="AE172" s="437"/>
      <c r="AF172" s="437"/>
      <c r="AG172" s="437"/>
      <c r="AH172" s="437"/>
      <c r="AI172" s="437"/>
      <c r="AJ172" s="437"/>
      <c r="AK172" s="437"/>
      <c r="AL172" s="437"/>
      <c r="AM172" s="437"/>
      <c r="AN172" s="437"/>
      <c r="AO172" s="437"/>
      <c r="AP172" s="437"/>
      <c r="AQ172" s="437"/>
      <c r="AR172" s="437"/>
      <c r="AS172" s="437"/>
      <c r="AT172" s="437"/>
    </row>
    <row r="173" spans="1:48" s="50" customFormat="1" ht="13.5" customHeight="1" x14ac:dyDescent="0.25">
      <c r="A173" s="53"/>
      <c r="B173" s="56" t="s">
        <v>261</v>
      </c>
      <c r="C173" s="300">
        <f t="shared" ref="C173:C179" si="4">C164*$C$158</f>
        <v>0</v>
      </c>
      <c r="D173" s="122">
        <v>2015</v>
      </c>
      <c r="E173" s="300">
        <f>C173</f>
        <v>0</v>
      </c>
      <c r="F173" s="243" t="s">
        <v>11</v>
      </c>
      <c r="G173" s="1231" t="s">
        <v>290</v>
      </c>
      <c r="H173" s="1230" t="s">
        <v>476</v>
      </c>
      <c r="I173" s="437"/>
      <c r="J173" s="437"/>
      <c r="K173" s="437"/>
      <c r="L173" s="437"/>
      <c r="M173" s="437"/>
      <c r="N173" s="437"/>
      <c r="O173" s="437"/>
      <c r="P173" s="437"/>
      <c r="Q173" s="437"/>
      <c r="R173" s="437"/>
      <c r="S173" s="437"/>
      <c r="T173" s="437"/>
      <c r="U173" s="437"/>
      <c r="V173" s="437"/>
      <c r="W173" s="437"/>
      <c r="X173" s="437"/>
      <c r="Y173" s="437"/>
      <c r="Z173" s="437"/>
      <c r="AA173" s="437"/>
      <c r="AB173" s="437"/>
      <c r="AC173" s="437"/>
      <c r="AD173" s="437"/>
      <c r="AE173" s="437"/>
      <c r="AF173" s="437"/>
      <c r="AG173" s="437"/>
      <c r="AH173" s="437"/>
      <c r="AI173" s="437"/>
      <c r="AJ173" s="437"/>
      <c r="AK173" s="437"/>
      <c r="AL173" s="437"/>
      <c r="AM173" s="437"/>
      <c r="AN173" s="437"/>
      <c r="AO173" s="437"/>
      <c r="AP173" s="437"/>
      <c r="AQ173" s="437"/>
      <c r="AR173" s="437"/>
      <c r="AS173" s="437"/>
      <c r="AT173" s="437"/>
      <c r="AU173" s="438"/>
      <c r="AV173" s="438"/>
    </row>
    <row r="174" spans="1:48" s="90" customFormat="1" ht="13.5" customHeight="1" x14ac:dyDescent="0.25">
      <c r="A174" s="53"/>
      <c r="B174" s="56" t="s">
        <v>262</v>
      </c>
      <c r="C174" s="300">
        <f t="shared" si="4"/>
        <v>28800</v>
      </c>
      <c r="D174" s="122">
        <v>2015</v>
      </c>
      <c r="E174" s="300">
        <f t="shared" ref="E174:E179" si="5">C174</f>
        <v>28800</v>
      </c>
      <c r="F174" s="243" t="s">
        <v>11</v>
      </c>
      <c r="G174" s="1231"/>
      <c r="H174" s="1230"/>
      <c r="I174" s="437"/>
      <c r="J174" s="437"/>
      <c r="K174" s="437"/>
      <c r="L174" s="437"/>
      <c r="M174" s="437"/>
      <c r="N174" s="437"/>
      <c r="O174" s="437"/>
      <c r="P174" s="437"/>
      <c r="Q174" s="437"/>
      <c r="R174" s="437"/>
      <c r="S174" s="437"/>
      <c r="T174" s="437"/>
      <c r="U174" s="437"/>
      <c r="V174" s="437"/>
      <c r="W174" s="437"/>
      <c r="X174" s="437"/>
      <c r="Y174" s="437"/>
      <c r="Z174" s="437"/>
      <c r="AA174" s="437"/>
      <c r="AB174" s="437"/>
      <c r="AC174" s="437"/>
      <c r="AD174" s="437"/>
      <c r="AE174" s="437"/>
      <c r="AF174" s="437"/>
      <c r="AG174" s="437"/>
      <c r="AH174" s="437"/>
      <c r="AI174" s="437"/>
      <c r="AJ174" s="437"/>
      <c r="AK174" s="437"/>
      <c r="AL174" s="437"/>
      <c r="AM174" s="437"/>
      <c r="AN174" s="437"/>
      <c r="AO174" s="437"/>
      <c r="AP174" s="437"/>
      <c r="AQ174" s="437"/>
      <c r="AR174" s="437"/>
      <c r="AS174" s="437"/>
      <c r="AT174" s="437"/>
      <c r="AU174" s="438"/>
      <c r="AV174" s="438"/>
    </row>
    <row r="175" spans="1:48" s="90" customFormat="1" ht="13.5" customHeight="1" x14ac:dyDescent="0.25">
      <c r="A175" s="53"/>
      <c r="B175" s="56" t="s">
        <v>263</v>
      </c>
      <c r="C175" s="300">
        <f t="shared" si="4"/>
        <v>451200</v>
      </c>
      <c r="D175" s="122">
        <v>2015</v>
      </c>
      <c r="E175" s="300">
        <f t="shared" si="5"/>
        <v>451200</v>
      </c>
      <c r="F175" s="243" t="s">
        <v>11</v>
      </c>
      <c r="G175" s="1231"/>
      <c r="H175" s="1230"/>
      <c r="I175" s="437"/>
      <c r="J175" s="437"/>
      <c r="K175" s="437"/>
      <c r="L175" s="437"/>
      <c r="M175" s="437"/>
      <c r="N175" s="437"/>
      <c r="O175" s="437"/>
      <c r="P175" s="437"/>
      <c r="Q175" s="437"/>
      <c r="R175" s="437"/>
      <c r="S175" s="437"/>
      <c r="T175" s="437"/>
      <c r="U175" s="437"/>
      <c r="V175" s="437"/>
      <c r="W175" s="437"/>
      <c r="X175" s="437"/>
      <c r="Y175" s="437"/>
      <c r="Z175" s="437"/>
      <c r="AA175" s="437"/>
      <c r="AB175" s="437"/>
      <c r="AC175" s="437"/>
      <c r="AD175" s="437"/>
      <c r="AE175" s="437"/>
      <c r="AF175" s="437"/>
      <c r="AG175" s="437"/>
      <c r="AH175" s="437"/>
      <c r="AI175" s="437"/>
      <c r="AJ175" s="437"/>
      <c r="AK175" s="437"/>
      <c r="AL175" s="437"/>
      <c r="AM175" s="437"/>
      <c r="AN175" s="437"/>
      <c r="AO175" s="437"/>
      <c r="AP175" s="437"/>
      <c r="AQ175" s="437"/>
      <c r="AR175" s="437"/>
      <c r="AS175" s="437"/>
      <c r="AT175" s="437"/>
      <c r="AU175" s="438"/>
      <c r="AV175" s="438"/>
    </row>
    <row r="176" spans="1:48" s="90" customFormat="1" ht="13.5" customHeight="1" x14ac:dyDescent="0.25">
      <c r="A176" s="53"/>
      <c r="B176" s="56" t="s">
        <v>264</v>
      </c>
      <c r="C176" s="300">
        <f t="shared" si="4"/>
        <v>1008000</v>
      </c>
      <c r="D176" s="122">
        <v>2015</v>
      </c>
      <c r="E176" s="300">
        <f t="shared" si="5"/>
        <v>1008000</v>
      </c>
      <c r="F176" s="243" t="s">
        <v>11</v>
      </c>
      <c r="G176" s="1237" t="s">
        <v>174</v>
      </c>
      <c r="H176" s="1230" t="s">
        <v>175</v>
      </c>
      <c r="I176" s="437"/>
      <c r="J176" s="437"/>
      <c r="K176" s="437"/>
      <c r="L176" s="437"/>
      <c r="M176" s="437"/>
      <c r="N176" s="437"/>
      <c r="O176" s="437"/>
      <c r="P176" s="437"/>
      <c r="Q176" s="437"/>
      <c r="R176" s="437"/>
      <c r="S176" s="437"/>
      <c r="T176" s="437"/>
      <c r="U176" s="437"/>
      <c r="V176" s="437"/>
      <c r="W176" s="437"/>
      <c r="X176" s="437"/>
      <c r="Y176" s="437"/>
      <c r="Z176" s="437"/>
      <c r="AA176" s="437"/>
      <c r="AB176" s="437"/>
      <c r="AC176" s="437"/>
      <c r="AD176" s="437"/>
      <c r="AE176" s="437"/>
      <c r="AF176" s="437"/>
      <c r="AG176" s="437"/>
      <c r="AH176" s="437"/>
      <c r="AI176" s="437"/>
      <c r="AJ176" s="437"/>
      <c r="AK176" s="437"/>
      <c r="AL176" s="437"/>
      <c r="AM176" s="437"/>
      <c r="AN176" s="437"/>
      <c r="AO176" s="437"/>
      <c r="AP176" s="437"/>
      <c r="AQ176" s="437"/>
      <c r="AR176" s="437"/>
      <c r="AS176" s="437"/>
      <c r="AT176" s="437"/>
      <c r="AU176" s="438"/>
      <c r="AV176" s="438"/>
    </row>
    <row r="177" spans="1:48" s="90" customFormat="1" ht="13.5" customHeight="1" x14ac:dyDescent="0.25">
      <c r="A177" s="53"/>
      <c r="B177" s="56" t="s">
        <v>265</v>
      </c>
      <c r="C177" s="300">
        <f t="shared" si="4"/>
        <v>2553600</v>
      </c>
      <c r="D177" s="122">
        <v>2015</v>
      </c>
      <c r="E177" s="300">
        <f>C177</f>
        <v>2553600</v>
      </c>
      <c r="F177" s="243" t="s">
        <v>11</v>
      </c>
      <c r="G177" s="1237"/>
      <c r="H177" s="1230"/>
      <c r="I177" s="437"/>
      <c r="J177" s="437"/>
      <c r="K177" s="437"/>
      <c r="L177" s="437"/>
      <c r="M177" s="437"/>
      <c r="N177" s="437"/>
      <c r="O177" s="437"/>
      <c r="P177" s="437"/>
      <c r="Q177" s="437"/>
      <c r="R177" s="437"/>
      <c r="S177" s="437"/>
      <c r="T177" s="437"/>
      <c r="U177" s="437"/>
      <c r="V177" s="437"/>
      <c r="W177" s="437"/>
      <c r="X177" s="437"/>
      <c r="Y177" s="437"/>
      <c r="Z177" s="437"/>
      <c r="AA177" s="437"/>
      <c r="AB177" s="437"/>
      <c r="AC177" s="437"/>
      <c r="AD177" s="437"/>
      <c r="AE177" s="437"/>
      <c r="AF177" s="437"/>
      <c r="AG177" s="437"/>
      <c r="AH177" s="437"/>
      <c r="AI177" s="437"/>
      <c r="AJ177" s="437"/>
      <c r="AK177" s="437"/>
      <c r="AL177" s="437"/>
      <c r="AM177" s="437"/>
      <c r="AN177" s="437"/>
      <c r="AO177" s="437"/>
      <c r="AP177" s="437"/>
      <c r="AQ177" s="437"/>
      <c r="AR177" s="437"/>
      <c r="AS177" s="437"/>
      <c r="AT177" s="437"/>
      <c r="AU177" s="438"/>
      <c r="AV177" s="438"/>
    </row>
    <row r="178" spans="1:48" s="90" customFormat="1" ht="13.5" customHeight="1" x14ac:dyDescent="0.25">
      <c r="A178" s="53"/>
      <c r="B178" s="56" t="s">
        <v>266</v>
      </c>
      <c r="C178" s="300">
        <f t="shared" si="4"/>
        <v>5692800</v>
      </c>
      <c r="D178" s="122">
        <v>2015</v>
      </c>
      <c r="E178" s="300">
        <f t="shared" si="5"/>
        <v>5692800</v>
      </c>
      <c r="F178" s="243" t="s">
        <v>11</v>
      </c>
      <c r="G178" s="1237"/>
      <c r="H178" s="1230"/>
      <c r="I178" s="437"/>
      <c r="J178" s="437"/>
      <c r="K178" s="437"/>
      <c r="L178" s="437"/>
      <c r="M178" s="437"/>
      <c r="N178" s="437"/>
      <c r="O178" s="437"/>
      <c r="P178" s="437"/>
      <c r="Q178" s="437"/>
      <c r="R178" s="437"/>
      <c r="S178" s="437"/>
      <c r="T178" s="437"/>
      <c r="U178" s="437"/>
      <c r="V178" s="437"/>
      <c r="W178" s="437"/>
      <c r="X178" s="437"/>
      <c r="Y178" s="437"/>
      <c r="Z178" s="437"/>
      <c r="AA178" s="437"/>
      <c r="AB178" s="437"/>
      <c r="AC178" s="437"/>
      <c r="AD178" s="437"/>
      <c r="AE178" s="437"/>
      <c r="AF178" s="437"/>
      <c r="AG178" s="437"/>
      <c r="AH178" s="437"/>
      <c r="AI178" s="437"/>
      <c r="AJ178" s="437"/>
      <c r="AK178" s="437"/>
      <c r="AL178" s="437"/>
      <c r="AM178" s="437"/>
      <c r="AN178" s="437"/>
      <c r="AO178" s="437"/>
      <c r="AP178" s="437"/>
      <c r="AQ178" s="437"/>
      <c r="AR178" s="437"/>
      <c r="AS178" s="437"/>
      <c r="AT178" s="437"/>
      <c r="AU178" s="438"/>
      <c r="AV178" s="438"/>
    </row>
    <row r="179" spans="1:48" s="90" customFormat="1" ht="13.5" customHeight="1" x14ac:dyDescent="0.25">
      <c r="A179" s="53"/>
      <c r="B179" s="56" t="s">
        <v>267</v>
      </c>
      <c r="C179" s="300">
        <f t="shared" si="4"/>
        <v>9600000</v>
      </c>
      <c r="D179" s="122">
        <v>2015</v>
      </c>
      <c r="E179" s="300">
        <f t="shared" si="5"/>
        <v>9600000</v>
      </c>
      <c r="F179" s="243" t="s">
        <v>11</v>
      </c>
      <c r="G179" s="1237"/>
      <c r="H179" s="81"/>
      <c r="I179" s="437"/>
      <c r="J179" s="437"/>
      <c r="K179" s="437"/>
      <c r="L179" s="437"/>
      <c r="M179" s="437"/>
      <c r="N179" s="437"/>
      <c r="O179" s="437"/>
      <c r="P179" s="437"/>
      <c r="Q179" s="437"/>
      <c r="R179" s="437"/>
      <c r="S179" s="437"/>
      <c r="T179" s="437"/>
      <c r="U179" s="437"/>
      <c r="V179" s="437"/>
      <c r="W179" s="437"/>
      <c r="X179" s="437"/>
      <c r="Y179" s="437"/>
      <c r="Z179" s="437"/>
      <c r="AA179" s="437"/>
      <c r="AB179" s="437"/>
      <c r="AC179" s="437"/>
      <c r="AD179" s="437"/>
      <c r="AE179" s="437"/>
      <c r="AF179" s="437"/>
      <c r="AG179" s="437"/>
      <c r="AH179" s="437"/>
      <c r="AI179" s="437"/>
      <c r="AJ179" s="437"/>
      <c r="AK179" s="437"/>
      <c r="AL179" s="437"/>
      <c r="AM179" s="437"/>
      <c r="AN179" s="437"/>
      <c r="AO179" s="437"/>
      <c r="AP179" s="437"/>
      <c r="AQ179" s="437"/>
      <c r="AR179" s="437"/>
      <c r="AS179" s="437"/>
      <c r="AT179" s="437"/>
      <c r="AU179" s="438"/>
      <c r="AV179" s="438"/>
    </row>
    <row r="180" spans="1:48" s="50" customFormat="1" ht="13.5" customHeight="1" x14ac:dyDescent="0.25">
      <c r="A180" s="53"/>
      <c r="B180" s="56"/>
      <c r="C180" s="79"/>
      <c r="D180" s="122"/>
      <c r="E180" s="82"/>
      <c r="F180" s="243"/>
      <c r="G180" s="80"/>
      <c r="H180" s="83"/>
      <c r="I180" s="437"/>
      <c r="J180" s="437"/>
      <c r="K180" s="437"/>
      <c r="L180" s="437"/>
      <c r="M180" s="437"/>
      <c r="N180" s="437"/>
      <c r="O180" s="437"/>
      <c r="P180" s="437"/>
      <c r="Q180" s="437"/>
      <c r="R180" s="437"/>
      <c r="S180" s="437"/>
      <c r="T180" s="437"/>
      <c r="U180" s="437"/>
      <c r="V180" s="437"/>
      <c r="W180" s="437"/>
      <c r="X180" s="437"/>
      <c r="Y180" s="437"/>
      <c r="Z180" s="437"/>
      <c r="AA180" s="437"/>
      <c r="AB180" s="437"/>
      <c r="AC180" s="437"/>
      <c r="AD180" s="437"/>
      <c r="AE180" s="437"/>
      <c r="AF180" s="437"/>
      <c r="AG180" s="437"/>
      <c r="AH180" s="437"/>
      <c r="AI180" s="437"/>
      <c r="AJ180" s="437"/>
      <c r="AK180" s="437"/>
      <c r="AL180" s="437"/>
      <c r="AM180" s="437"/>
      <c r="AN180" s="437"/>
      <c r="AO180" s="437"/>
      <c r="AP180" s="437"/>
      <c r="AQ180" s="437"/>
      <c r="AR180" s="437"/>
      <c r="AS180" s="437"/>
      <c r="AT180" s="437"/>
      <c r="AU180" s="438"/>
      <c r="AV180" s="438"/>
    </row>
    <row r="181" spans="1:48" s="50" customFormat="1" ht="29.25" customHeight="1" x14ac:dyDescent="0.25">
      <c r="A181" s="53"/>
      <c r="B181" s="302" t="s">
        <v>253</v>
      </c>
      <c r="C181" s="184"/>
      <c r="D181" s="122"/>
      <c r="E181" s="65"/>
      <c r="F181" s="229"/>
      <c r="G181" s="65"/>
      <c r="H181" s="81"/>
      <c r="I181" s="437"/>
      <c r="J181" s="437"/>
      <c r="K181" s="437"/>
      <c r="L181" s="437"/>
      <c r="M181" s="437"/>
      <c r="N181" s="437"/>
      <c r="O181" s="437"/>
      <c r="P181" s="437"/>
      <c r="Q181" s="437"/>
      <c r="R181" s="437"/>
      <c r="S181" s="437"/>
      <c r="T181" s="437"/>
      <c r="U181" s="437"/>
      <c r="V181" s="437"/>
      <c r="W181" s="437"/>
      <c r="X181" s="437"/>
      <c r="Y181" s="437"/>
      <c r="Z181" s="437"/>
      <c r="AA181" s="437"/>
      <c r="AB181" s="437"/>
      <c r="AC181" s="437"/>
      <c r="AD181" s="437"/>
      <c r="AE181" s="437"/>
      <c r="AF181" s="437"/>
      <c r="AG181" s="437"/>
      <c r="AH181" s="437"/>
      <c r="AI181" s="437"/>
      <c r="AJ181" s="437"/>
      <c r="AK181" s="437"/>
      <c r="AL181" s="437"/>
      <c r="AM181" s="437"/>
      <c r="AN181" s="437"/>
      <c r="AO181" s="437"/>
      <c r="AP181" s="437"/>
      <c r="AQ181" s="437"/>
      <c r="AR181" s="437"/>
      <c r="AS181" s="437"/>
      <c r="AT181" s="437"/>
    </row>
    <row r="182" spans="1:48" s="50" customFormat="1" ht="13.5" customHeight="1" x14ac:dyDescent="0.25">
      <c r="A182" s="53"/>
      <c r="B182" s="56" t="s">
        <v>20</v>
      </c>
      <c r="C182" s="300">
        <f>'KABCO-AIS Conv Matrix'!G50</f>
        <v>9600000</v>
      </c>
      <c r="D182" s="122">
        <v>2015</v>
      </c>
      <c r="E182" s="300">
        <f>C182</f>
        <v>9600000</v>
      </c>
      <c r="F182" s="243" t="s">
        <v>11</v>
      </c>
      <c r="G182" s="1231" t="s">
        <v>304</v>
      </c>
      <c r="H182" s="1236" t="s">
        <v>476</v>
      </c>
    </row>
    <row r="183" spans="1:48" s="50" customFormat="1" ht="13.5" customHeight="1" x14ac:dyDescent="0.25">
      <c r="A183" s="53"/>
      <c r="B183" s="301" t="s">
        <v>226</v>
      </c>
      <c r="C183" s="300">
        <f>'KABCO-AIS Conv Matrix'!F50</f>
        <v>459120.288</v>
      </c>
      <c r="D183" s="122">
        <v>2015</v>
      </c>
      <c r="E183" s="300">
        <f t="shared" ref="E183:E188" si="6">C183</f>
        <v>459120.288</v>
      </c>
      <c r="F183" s="243" t="s">
        <v>11</v>
      </c>
      <c r="G183" s="1231"/>
      <c r="H183" s="1236"/>
    </row>
    <row r="184" spans="1:48" s="50" customFormat="1" ht="13.5" customHeight="1" x14ac:dyDescent="0.25">
      <c r="A184" s="53"/>
      <c r="B184" s="301" t="s">
        <v>227</v>
      </c>
      <c r="C184" s="300">
        <f>'KABCO-AIS Conv Matrix'!E50</f>
        <v>125049.88800000001</v>
      </c>
      <c r="D184" s="122">
        <v>2015</v>
      </c>
      <c r="E184" s="300">
        <f t="shared" si="6"/>
        <v>125049.88800000001</v>
      </c>
      <c r="F184" s="243" t="s">
        <v>11</v>
      </c>
      <c r="G184" s="1231"/>
      <c r="H184" s="1236"/>
    </row>
    <row r="185" spans="1:48" s="50" customFormat="1" ht="13.5" customHeight="1" x14ac:dyDescent="0.25">
      <c r="A185" s="53"/>
      <c r="B185" s="301" t="s">
        <v>228</v>
      </c>
      <c r="C185" s="300">
        <f>'KABCO-AIS Conv Matrix'!D50</f>
        <v>63854.495999999999</v>
      </c>
      <c r="D185" s="122">
        <v>2015</v>
      </c>
      <c r="E185" s="300">
        <f t="shared" si="6"/>
        <v>63854.495999999999</v>
      </c>
      <c r="F185" s="243" t="s">
        <v>11</v>
      </c>
      <c r="G185" s="1231"/>
      <c r="H185" s="1236"/>
    </row>
    <row r="186" spans="1:48" s="50" customFormat="1" ht="13.5" customHeight="1" x14ac:dyDescent="0.25">
      <c r="A186" s="53"/>
      <c r="B186" s="56" t="s">
        <v>229</v>
      </c>
      <c r="C186" s="300">
        <f>'KABCO-AIS Conv Matrix'!H50</f>
        <v>174029.568</v>
      </c>
      <c r="D186" s="122">
        <v>2015</v>
      </c>
      <c r="E186" s="300">
        <f t="shared" si="6"/>
        <v>174029.568</v>
      </c>
      <c r="F186" s="243" t="s">
        <v>11</v>
      </c>
      <c r="G186" s="1231"/>
      <c r="H186" s="83"/>
    </row>
    <row r="187" spans="1:48" s="50" customFormat="1" ht="13.5" customHeight="1" x14ac:dyDescent="0.25">
      <c r="A187" s="53"/>
      <c r="B187" s="56"/>
      <c r="C187" s="300"/>
      <c r="D187" s="122"/>
      <c r="E187" s="300"/>
      <c r="F187" s="243"/>
      <c r="G187" s="80"/>
      <c r="H187" s="83"/>
    </row>
    <row r="188" spans="1:48" s="50" customFormat="1" ht="39.75" customHeight="1" x14ac:dyDescent="0.25">
      <c r="A188" s="53"/>
      <c r="B188" s="56" t="s">
        <v>284</v>
      </c>
      <c r="C188" s="300">
        <v>4198</v>
      </c>
      <c r="D188" s="122">
        <v>2015</v>
      </c>
      <c r="E188" s="300">
        <f t="shared" si="6"/>
        <v>4198</v>
      </c>
      <c r="F188" s="243" t="s">
        <v>33</v>
      </c>
      <c r="G188" s="80" t="s">
        <v>291</v>
      </c>
      <c r="H188" s="1230" t="s">
        <v>476</v>
      </c>
    </row>
    <row r="189" spans="1:48" s="50" customFormat="1" ht="30" customHeight="1" x14ac:dyDescent="0.25">
      <c r="A189" s="53"/>
      <c r="B189" s="56"/>
      <c r="C189" s="72"/>
      <c r="D189" s="122"/>
      <c r="E189" s="300"/>
      <c r="F189" s="243"/>
      <c r="G189" s="896" t="s">
        <v>285</v>
      </c>
      <c r="H189" s="1230"/>
    </row>
    <row r="190" spans="1:48" s="50" customFormat="1" ht="13.5" customHeight="1" x14ac:dyDescent="0.25">
      <c r="A190" s="53"/>
      <c r="B190" s="56"/>
      <c r="C190" s="72"/>
      <c r="D190" s="122"/>
      <c r="E190" s="300"/>
      <c r="F190" s="243"/>
      <c r="G190" s="896"/>
      <c r="H190" s="1230"/>
    </row>
    <row r="191" spans="1:48" s="50" customFormat="1" x14ac:dyDescent="0.25">
      <c r="A191" s="53"/>
      <c r="B191" s="912" t="s">
        <v>492</v>
      </c>
      <c r="C191" s="495"/>
      <c r="D191" s="207"/>
      <c r="E191" s="322"/>
      <c r="F191" s="496"/>
      <c r="G191" s="498"/>
      <c r="H191" s="497"/>
    </row>
    <row r="192" spans="1:48" s="50" customFormat="1" ht="57.75" customHeight="1" x14ac:dyDescent="0.25">
      <c r="A192" s="53"/>
      <c r="B192" s="492" t="s">
        <v>13</v>
      </c>
      <c r="C192" s="499">
        <f>'KABCO-AIS Conv Matrix'!H65</f>
        <v>0.89480132239168808</v>
      </c>
      <c r="D192" s="123">
        <v>2015</v>
      </c>
      <c r="E192" s="206"/>
      <c r="F192" s="493" t="s">
        <v>305</v>
      </c>
      <c r="G192" s="494" t="s">
        <v>550</v>
      </c>
      <c r="H192" s="497"/>
    </row>
    <row r="193" spans="1:9" s="50" customFormat="1" ht="57.75" customHeight="1" x14ac:dyDescent="0.25">
      <c r="A193" s="53"/>
      <c r="B193" s="953" t="s">
        <v>547</v>
      </c>
      <c r="C193" s="499">
        <f>'KABCO-AIS Conv Matrix'!I65</f>
        <v>6.6120000000000001</v>
      </c>
      <c r="D193" s="123">
        <v>2015</v>
      </c>
      <c r="E193" s="206"/>
      <c r="F193" s="493" t="s">
        <v>493</v>
      </c>
      <c r="G193" s="494" t="s">
        <v>550</v>
      </c>
      <c r="H193" s="497" t="s">
        <v>475</v>
      </c>
    </row>
    <row r="194" spans="1:9" s="50" customFormat="1" ht="57.75" customHeight="1" x14ac:dyDescent="0.25">
      <c r="A194" s="53"/>
      <c r="B194" s="492" t="s">
        <v>544</v>
      </c>
      <c r="C194" s="499">
        <f>'KABCO-AIS Conv Matrix'!J65</f>
        <v>79.6684551024819</v>
      </c>
      <c r="D194" s="123">
        <v>2015</v>
      </c>
      <c r="E194" s="206"/>
      <c r="F194" s="493" t="s">
        <v>494</v>
      </c>
      <c r="G194" s="494" t="s">
        <v>550</v>
      </c>
      <c r="H194" s="497" t="s">
        <v>475</v>
      </c>
    </row>
    <row r="195" spans="1:9" s="50" customFormat="1" ht="57.75" customHeight="1" thickBot="1" x14ac:dyDescent="0.3">
      <c r="A195" s="53"/>
      <c r="B195" s="918" t="s">
        <v>337</v>
      </c>
      <c r="C195" s="919">
        <f>'KABCO-AIS Conv Matrix'!K65</f>
        <v>105.04676071331487</v>
      </c>
      <c r="D195" s="920">
        <v>2015</v>
      </c>
      <c r="E195" s="921"/>
      <c r="F195" s="922" t="s">
        <v>338</v>
      </c>
      <c r="G195" s="922" t="s">
        <v>550</v>
      </c>
      <c r="H195" s="923"/>
    </row>
    <row r="196" spans="1:9" s="50" customFormat="1" ht="13.5" thickBot="1" x14ac:dyDescent="0.3">
      <c r="A196" s="53"/>
      <c r="D196" s="95"/>
      <c r="F196" s="230"/>
      <c r="G196" s="53"/>
      <c r="H196" s="53"/>
      <c r="I196" s="53"/>
    </row>
    <row r="197" spans="1:9" s="50" customFormat="1" ht="16.5" thickBot="1" x14ac:dyDescent="0.3">
      <c r="A197" s="53"/>
      <c r="B197" s="199" t="s">
        <v>32</v>
      </c>
      <c r="C197" s="85"/>
      <c r="D197" s="124"/>
      <c r="E197" s="85"/>
      <c r="F197" s="244"/>
      <c r="G197" s="86"/>
      <c r="H197" s="87"/>
    </row>
    <row r="198" spans="1:9" x14ac:dyDescent="0.25">
      <c r="B198" s="133"/>
      <c r="C198" s="134"/>
      <c r="D198" s="135"/>
      <c r="E198" s="134"/>
      <c r="F198" s="245"/>
      <c r="G198" s="134"/>
      <c r="H198" s="136"/>
    </row>
    <row r="199" spans="1:9" ht="76.5" x14ac:dyDescent="0.25">
      <c r="B199" s="48" t="s">
        <v>55</v>
      </c>
      <c r="C199" s="71">
        <v>76900</v>
      </c>
      <c r="D199" s="109">
        <v>2015</v>
      </c>
      <c r="E199" s="71">
        <f>C199</f>
        <v>76900</v>
      </c>
      <c r="F199" s="236" t="s">
        <v>34</v>
      </c>
      <c r="G199" s="61" t="s">
        <v>292</v>
      </c>
      <c r="H199" s="89" t="s">
        <v>87</v>
      </c>
    </row>
    <row r="200" spans="1:9" ht="13.5" thickBot="1" x14ac:dyDescent="0.3">
      <c r="B200" s="137"/>
      <c r="C200" s="138"/>
      <c r="D200" s="139"/>
      <c r="E200" s="138"/>
      <c r="F200" s="246"/>
      <c r="G200" s="138"/>
      <c r="H200" s="140"/>
    </row>
    <row r="201" spans="1:9" ht="13.5" thickBot="1" x14ac:dyDescent="0.3">
      <c r="D201" s="95"/>
      <c r="G201" s="1"/>
      <c r="H201" s="1"/>
    </row>
    <row r="202" spans="1:9" ht="16.5" thickBot="1" x14ac:dyDescent="0.3">
      <c r="B202" s="198" t="s">
        <v>661</v>
      </c>
      <c r="C202" s="75"/>
      <c r="D202" s="132"/>
      <c r="E202" s="75"/>
      <c r="F202" s="242"/>
      <c r="G202" s="76"/>
      <c r="H202" s="77"/>
    </row>
    <row r="203" spans="1:9" x14ac:dyDescent="0.25">
      <c r="B203" s="913"/>
      <c r="C203" s="914"/>
      <c r="D203" s="118"/>
      <c r="E203" s="914"/>
      <c r="F203" s="915"/>
      <c r="G203" s="916"/>
      <c r="H203" s="917"/>
    </row>
    <row r="204" spans="1:9" ht="24.75" customHeight="1" x14ac:dyDescent="0.25">
      <c r="B204" s="302" t="s">
        <v>662</v>
      </c>
      <c r="C204" s="958">
        <f>WalkMode!C15/WalkMode!E15</f>
        <v>0.10447761194029852</v>
      </c>
      <c r="D204" s="122"/>
      <c r="E204" s="300"/>
      <c r="F204" s="243" t="s">
        <v>700</v>
      </c>
      <c r="G204" s="80" t="s">
        <v>664</v>
      </c>
      <c r="H204" s="81"/>
    </row>
    <row r="205" spans="1:9" ht="24.75" customHeight="1" x14ac:dyDescent="0.25">
      <c r="B205" s="302" t="s">
        <v>663</v>
      </c>
      <c r="C205" s="64">
        <v>0.3</v>
      </c>
      <c r="D205" s="122"/>
      <c r="E205" s="300"/>
      <c r="F205" s="243" t="s">
        <v>638</v>
      </c>
      <c r="G205" s="80" t="s">
        <v>665</v>
      </c>
      <c r="H205" s="81"/>
    </row>
    <row r="206" spans="1:9" ht="24.75" customHeight="1" x14ac:dyDescent="0.25">
      <c r="B206" s="302" t="s">
        <v>666</v>
      </c>
      <c r="C206" s="1036">
        <v>0.5</v>
      </c>
      <c r="D206" s="122"/>
      <c r="E206" s="300"/>
      <c r="F206" s="243" t="s">
        <v>667</v>
      </c>
      <c r="G206" s="80" t="s">
        <v>665</v>
      </c>
      <c r="H206" s="81"/>
    </row>
    <row r="207" spans="1:9" ht="24.75" customHeight="1" x14ac:dyDescent="0.25">
      <c r="B207" s="302" t="s">
        <v>670</v>
      </c>
      <c r="C207" s="1036">
        <v>0.2</v>
      </c>
      <c r="D207" s="122"/>
      <c r="E207" s="300"/>
      <c r="F207" s="243" t="s">
        <v>667</v>
      </c>
      <c r="G207" s="80" t="s">
        <v>665</v>
      </c>
      <c r="H207" s="81"/>
    </row>
    <row r="208" spans="1:9" ht="24.75" customHeight="1" x14ac:dyDescent="0.25">
      <c r="B208" s="302" t="s">
        <v>671</v>
      </c>
      <c r="C208" s="1036">
        <v>0.05</v>
      </c>
      <c r="D208" s="122"/>
      <c r="E208" s="300"/>
      <c r="F208" s="243" t="s">
        <v>667</v>
      </c>
      <c r="G208" s="80" t="s">
        <v>665</v>
      </c>
      <c r="H208" s="81"/>
    </row>
    <row r="209" spans="2:8" ht="24.75" customHeight="1" x14ac:dyDescent="0.25">
      <c r="B209" s="302" t="s">
        <v>672</v>
      </c>
      <c r="C209" s="72">
        <v>4</v>
      </c>
      <c r="D209" s="122"/>
      <c r="E209" s="300"/>
      <c r="F209" s="243" t="s">
        <v>673</v>
      </c>
      <c r="G209" s="80" t="s">
        <v>513</v>
      </c>
      <c r="H209" s="81"/>
    </row>
    <row r="210" spans="2:8" ht="24.75" customHeight="1" thickBot="1" x14ac:dyDescent="0.3">
      <c r="B210" s="1037" t="s">
        <v>674</v>
      </c>
      <c r="C210" s="1038">
        <f>C209/24</f>
        <v>0.16666666666666666</v>
      </c>
      <c r="D210" s="1039"/>
      <c r="E210" s="1040"/>
      <c r="F210" s="1041" t="s">
        <v>700</v>
      </c>
      <c r="G210" s="84" t="s">
        <v>513</v>
      </c>
      <c r="H210" s="102"/>
    </row>
    <row r="211" spans="2:8" ht="13.5" thickBot="1" x14ac:dyDescent="0.3"/>
    <row r="212" spans="2:8" ht="13.5" thickBot="1" x14ac:dyDescent="0.3">
      <c r="B212" s="1095" t="s">
        <v>710</v>
      </c>
      <c r="C212" s="1096">
        <v>1</v>
      </c>
      <c r="D212" s="1097"/>
      <c r="E212" s="1098"/>
      <c r="F212" s="1099"/>
      <c r="G212" s="1100"/>
      <c r="H212" s="1101"/>
    </row>
  </sheetData>
  <mergeCells count="32">
    <mergeCell ref="G65:G68"/>
    <mergeCell ref="H65:H68"/>
    <mergeCell ref="G59:G62"/>
    <mergeCell ref="H59:H62"/>
    <mergeCell ref="H27:H35"/>
    <mergeCell ref="G27:G35"/>
    <mergeCell ref="G71:G74"/>
    <mergeCell ref="H71:H74"/>
    <mergeCell ref="H83:H88"/>
    <mergeCell ref="H182:H185"/>
    <mergeCell ref="G176:G179"/>
    <mergeCell ref="H176:H178"/>
    <mergeCell ref="H164:H166"/>
    <mergeCell ref="G164:G166"/>
    <mergeCell ref="G167:G170"/>
    <mergeCell ref="H167:H169"/>
    <mergeCell ref="G173:G175"/>
    <mergeCell ref="H173:H175"/>
    <mergeCell ref="G83:G85"/>
    <mergeCell ref="G77:G80"/>
    <mergeCell ref="H77:H79"/>
    <mergeCell ref="G86:G88"/>
    <mergeCell ref="H188:H190"/>
    <mergeCell ref="G182:G186"/>
    <mergeCell ref="H158:H160"/>
    <mergeCell ref="G158:G160"/>
    <mergeCell ref="G91:G93"/>
    <mergeCell ref="H91:H96"/>
    <mergeCell ref="G94:G96"/>
    <mergeCell ref="G104:G111"/>
    <mergeCell ref="H104:H110"/>
    <mergeCell ref="G140:G150"/>
  </mergeCells>
  <pageMargins left="0.7" right="0.7" top="0.75" bottom="0.75" header="0.3" footer="0.3"/>
  <pageSetup scale="18"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L68"/>
  <sheetViews>
    <sheetView zoomScale="70" zoomScaleNormal="70" workbookViewId="0">
      <selection activeCell="C32" sqref="C32"/>
    </sheetView>
  </sheetViews>
  <sheetFormatPr defaultRowHeight="15" x14ac:dyDescent="0.25"/>
  <cols>
    <col min="1" max="1" width="4.28515625" style="303" customWidth="1"/>
    <col min="2" max="2" width="24.5703125" style="303" customWidth="1"/>
    <col min="3" max="3" width="19.140625" style="303" customWidth="1"/>
    <col min="4" max="4" width="19.5703125" style="303" bestFit="1" customWidth="1"/>
    <col min="5" max="5" width="25.42578125" style="303" bestFit="1" customWidth="1"/>
    <col min="6" max="6" width="18.28515625" style="303" bestFit="1" customWidth="1"/>
    <col min="7" max="7" width="16.28515625" style="303" bestFit="1" customWidth="1"/>
    <col min="8" max="11" width="12.5703125" style="303" customWidth="1"/>
    <col min="12" max="20" width="12.42578125" style="303" customWidth="1"/>
    <col min="21" max="21" width="13.140625" style="303" customWidth="1"/>
    <col min="22" max="22" width="11.85546875" style="303" customWidth="1"/>
    <col min="23" max="23" width="17" style="303" customWidth="1"/>
    <col min="24" max="24" width="26.7109375" style="303" customWidth="1"/>
    <col min="25" max="25" width="16" style="303" customWidth="1"/>
    <col min="26" max="26" width="16.42578125" style="303" customWidth="1"/>
    <col min="27" max="27" width="9.140625" style="303"/>
    <col min="28" max="28" width="30.42578125" style="303" customWidth="1"/>
    <col min="29" max="29" width="14.85546875" style="303" customWidth="1"/>
    <col min="30" max="30" width="12.42578125" style="303" customWidth="1"/>
    <col min="31" max="31" width="14.7109375" style="303" customWidth="1"/>
    <col min="32" max="33" width="9.140625" style="303"/>
    <col min="34" max="34" width="29.7109375" style="303" customWidth="1"/>
    <col min="35" max="35" width="14.7109375" style="303" customWidth="1"/>
    <col min="36" max="36" width="12.140625" style="303" customWidth="1"/>
    <col min="37" max="37" width="16.5703125" style="303" customWidth="1"/>
    <col min="38" max="16384" width="9.140625" style="303"/>
  </cols>
  <sheetData>
    <row r="1" spans="1:11" ht="18.75" x14ac:dyDescent="0.25">
      <c r="A1" s="1248" t="s">
        <v>813</v>
      </c>
      <c r="B1" s="1248"/>
      <c r="C1" s="1248"/>
      <c r="D1" s="1248"/>
      <c r="E1" s="1248"/>
      <c r="F1" s="1248"/>
      <c r="G1" s="1248"/>
      <c r="H1" s="1248"/>
    </row>
    <row r="2" spans="1:11" ht="15.75" thickBot="1" x14ac:dyDescent="0.3"/>
    <row r="3" spans="1:11" s="304" customFormat="1" ht="15" customHeight="1" x14ac:dyDescent="0.25">
      <c r="B3" s="1249" t="s">
        <v>176</v>
      </c>
      <c r="C3" s="1249"/>
      <c r="D3" s="1249"/>
      <c r="E3" s="1249"/>
      <c r="G3" s="1250" t="s">
        <v>177</v>
      </c>
      <c r="H3" s="1251"/>
      <c r="I3" s="1251"/>
      <c r="J3" s="1251"/>
      <c r="K3" s="1252"/>
    </row>
    <row r="4" spans="1:11" ht="27" customHeight="1" x14ac:dyDescent="0.25">
      <c r="B4" s="1253" t="s">
        <v>178</v>
      </c>
      <c r="C4" s="1253"/>
      <c r="D4" s="1253"/>
      <c r="E4" s="1253"/>
      <c r="G4" s="1240" t="s">
        <v>179</v>
      </c>
      <c r="H4" s="1241"/>
      <c r="I4" s="1241"/>
      <c r="J4" s="1241"/>
      <c r="K4" s="1242"/>
    </row>
    <row r="5" spans="1:11" ht="36" customHeight="1" x14ac:dyDescent="0.25">
      <c r="B5" s="305" t="s">
        <v>180</v>
      </c>
      <c r="C5" s="305" t="s">
        <v>181</v>
      </c>
      <c r="D5" s="305" t="s">
        <v>182</v>
      </c>
      <c r="E5" s="305" t="s">
        <v>183</v>
      </c>
      <c r="F5" s="506"/>
      <c r="G5" s="1240" t="s">
        <v>175</v>
      </c>
      <c r="H5" s="1241"/>
      <c r="I5" s="1241"/>
      <c r="J5" s="1241"/>
      <c r="K5" s="1242"/>
    </row>
    <row r="6" spans="1:11" ht="15" customHeight="1" x14ac:dyDescent="0.25">
      <c r="B6" s="306" t="s">
        <v>222</v>
      </c>
      <c r="C6" s="507" t="s">
        <v>224</v>
      </c>
      <c r="D6" s="308">
        <v>0</v>
      </c>
      <c r="E6" s="309">
        <v>0</v>
      </c>
      <c r="F6" s="508"/>
      <c r="G6" s="1240"/>
      <c r="H6" s="1241"/>
      <c r="I6" s="1241"/>
      <c r="J6" s="1241"/>
      <c r="K6" s="1242"/>
    </row>
    <row r="7" spans="1:11" ht="15" customHeight="1" x14ac:dyDescent="0.25">
      <c r="B7" s="306" t="s">
        <v>184</v>
      </c>
      <c r="C7" s="307" t="s">
        <v>185</v>
      </c>
      <c r="D7" s="308">
        <v>3.0000000000000001E-3</v>
      </c>
      <c r="E7" s="309">
        <v>28800</v>
      </c>
      <c r="F7" s="508"/>
      <c r="G7" s="1240" t="s">
        <v>188</v>
      </c>
      <c r="H7" s="1241"/>
      <c r="I7" s="1241"/>
      <c r="J7" s="1241"/>
      <c r="K7" s="1242"/>
    </row>
    <row r="8" spans="1:11" ht="15" customHeight="1" x14ac:dyDescent="0.25">
      <c r="B8" s="306" t="s">
        <v>186</v>
      </c>
      <c r="C8" s="307" t="s">
        <v>187</v>
      </c>
      <c r="D8" s="308">
        <v>4.7E-2</v>
      </c>
      <c r="E8" s="309">
        <v>451200</v>
      </c>
      <c r="F8" s="508"/>
      <c r="G8" s="1240"/>
      <c r="H8" s="1241"/>
      <c r="I8" s="1241"/>
      <c r="J8" s="1241"/>
      <c r="K8" s="1242"/>
    </row>
    <row r="9" spans="1:11" x14ac:dyDescent="0.25">
      <c r="B9" s="306" t="s">
        <v>189</v>
      </c>
      <c r="C9" s="307" t="s">
        <v>190</v>
      </c>
      <c r="D9" s="308">
        <v>0.105</v>
      </c>
      <c r="E9" s="309">
        <v>1008000</v>
      </c>
      <c r="F9" s="508"/>
      <c r="G9" s="1240"/>
      <c r="H9" s="1241"/>
      <c r="I9" s="1241"/>
      <c r="J9" s="1241"/>
      <c r="K9" s="1242"/>
    </row>
    <row r="10" spans="1:11" x14ac:dyDescent="0.25">
      <c r="B10" s="306" t="s">
        <v>191</v>
      </c>
      <c r="C10" s="307" t="s">
        <v>192</v>
      </c>
      <c r="D10" s="308">
        <v>0.26600000000000001</v>
      </c>
      <c r="E10" s="309">
        <v>2553600</v>
      </c>
      <c r="F10" s="508"/>
      <c r="G10" s="1240"/>
      <c r="H10" s="1241"/>
      <c r="I10" s="1241"/>
      <c r="J10" s="1241"/>
      <c r="K10" s="1242"/>
    </row>
    <row r="11" spans="1:11" ht="15.75" thickBot="1" x14ac:dyDescent="0.3">
      <c r="B11" s="306" t="s">
        <v>193</v>
      </c>
      <c r="C11" s="307" t="s">
        <v>194</v>
      </c>
      <c r="D11" s="308">
        <v>0.59299999999999997</v>
      </c>
      <c r="E11" s="309">
        <v>5692800</v>
      </c>
      <c r="F11" s="508"/>
      <c r="G11" s="1243"/>
      <c r="H11" s="1244"/>
      <c r="I11" s="1244"/>
      <c r="J11" s="1244"/>
      <c r="K11" s="1245"/>
    </row>
    <row r="12" spans="1:11" x14ac:dyDescent="0.25">
      <c r="B12" s="306" t="s">
        <v>195</v>
      </c>
      <c r="C12" s="307" t="s">
        <v>196</v>
      </c>
      <c r="D12" s="308">
        <v>1</v>
      </c>
      <c r="E12" s="309">
        <v>9600000</v>
      </c>
      <c r="F12" s="509"/>
      <c r="G12" s="509"/>
      <c r="H12" s="509"/>
      <c r="I12" s="510"/>
    </row>
    <row r="14" spans="1:11" hidden="1" x14ac:dyDescent="0.25"/>
    <row r="15" spans="1:11" hidden="1" x14ac:dyDescent="0.25">
      <c r="B15" s="325" t="s">
        <v>197</v>
      </c>
    </row>
    <row r="16" spans="1:11" hidden="1" x14ac:dyDescent="0.25">
      <c r="B16" s="1246" t="s">
        <v>198</v>
      </c>
      <c r="C16" s="1247"/>
      <c r="D16" s="1246" t="s">
        <v>199</v>
      </c>
      <c r="E16" s="1247"/>
    </row>
    <row r="17" spans="1:9" ht="30" hidden="1" customHeight="1" x14ac:dyDescent="0.25">
      <c r="B17" s="1246" t="s">
        <v>200</v>
      </c>
      <c r="C17" s="1247"/>
      <c r="D17" s="1246" t="s">
        <v>201</v>
      </c>
      <c r="E17" s="1247"/>
    </row>
    <row r="18" spans="1:9" hidden="1" x14ac:dyDescent="0.25">
      <c r="B18" s="503" t="s">
        <v>202</v>
      </c>
      <c r="C18" s="511" t="s">
        <v>203</v>
      </c>
      <c r="D18" s="512">
        <v>0</v>
      </c>
      <c r="E18" s="512" t="s">
        <v>203</v>
      </c>
    </row>
    <row r="19" spans="1:9" hidden="1" x14ac:dyDescent="0.25">
      <c r="B19" s="502" t="s">
        <v>204</v>
      </c>
      <c r="C19" s="337" t="s">
        <v>205</v>
      </c>
      <c r="D19" s="505">
        <v>1</v>
      </c>
      <c r="E19" s="307" t="s">
        <v>185</v>
      </c>
    </row>
    <row r="20" spans="1:9" hidden="1" x14ac:dyDescent="0.25">
      <c r="B20" s="502" t="s">
        <v>206</v>
      </c>
      <c r="C20" s="337" t="s">
        <v>207</v>
      </c>
      <c r="D20" s="505">
        <v>2</v>
      </c>
      <c r="E20" s="307" t="s">
        <v>187</v>
      </c>
    </row>
    <row r="21" spans="1:9" hidden="1" x14ac:dyDescent="0.25">
      <c r="B21" s="502" t="s">
        <v>208</v>
      </c>
      <c r="C21" s="337" t="s">
        <v>209</v>
      </c>
      <c r="D21" s="505">
        <v>3</v>
      </c>
      <c r="E21" s="307" t="s">
        <v>190</v>
      </c>
    </row>
    <row r="22" spans="1:9" hidden="1" x14ac:dyDescent="0.25">
      <c r="B22" s="502" t="s">
        <v>210</v>
      </c>
      <c r="C22" s="337" t="s">
        <v>211</v>
      </c>
      <c r="D22" s="505">
        <v>4</v>
      </c>
      <c r="E22" s="307" t="s">
        <v>192</v>
      </c>
    </row>
    <row r="23" spans="1:9" ht="30" hidden="1" x14ac:dyDescent="0.25">
      <c r="B23" s="502" t="s">
        <v>212</v>
      </c>
      <c r="C23" s="339" t="s">
        <v>213</v>
      </c>
      <c r="D23" s="505">
        <v>5</v>
      </c>
      <c r="E23" s="307" t="s">
        <v>194</v>
      </c>
    </row>
    <row r="24" spans="1:9" hidden="1" x14ac:dyDescent="0.25">
      <c r="B24" s="513" t="s">
        <v>214</v>
      </c>
      <c r="C24" s="337" t="s">
        <v>215</v>
      </c>
      <c r="D24" s="505">
        <v>6</v>
      </c>
      <c r="E24" s="307" t="s">
        <v>216</v>
      </c>
    </row>
    <row r="25" spans="1:9" hidden="1" x14ac:dyDescent="0.25"/>
    <row r="27" spans="1:9" x14ac:dyDescent="0.25">
      <c r="B27" s="325" t="s">
        <v>217</v>
      </c>
    </row>
    <row r="28" spans="1:9" ht="27.75" customHeight="1" x14ac:dyDescent="0.25">
      <c r="A28" s="310"/>
      <c r="B28" s="1257" t="s">
        <v>218</v>
      </c>
      <c r="C28" s="311" t="s">
        <v>202</v>
      </c>
      <c r="D28" s="312" t="s">
        <v>204</v>
      </c>
      <c r="E28" s="312" t="s">
        <v>206</v>
      </c>
      <c r="F28" s="312" t="s">
        <v>208</v>
      </c>
      <c r="G28" s="312" t="s">
        <v>210</v>
      </c>
      <c r="H28" s="312" t="s">
        <v>212</v>
      </c>
      <c r="I28" s="261" t="s">
        <v>219</v>
      </c>
    </row>
    <row r="29" spans="1:9" ht="45" x14ac:dyDescent="0.25">
      <c r="A29" s="313"/>
      <c r="B29" s="1258"/>
      <c r="C29" s="314" t="s">
        <v>203</v>
      </c>
      <c r="D29" s="261" t="s">
        <v>205</v>
      </c>
      <c r="E29" s="261" t="s">
        <v>207</v>
      </c>
      <c r="F29" s="261" t="s">
        <v>209</v>
      </c>
      <c r="G29" s="261" t="s">
        <v>211</v>
      </c>
      <c r="H29" s="261" t="s">
        <v>213</v>
      </c>
      <c r="I29" s="261" t="s">
        <v>215</v>
      </c>
    </row>
    <row r="30" spans="1:9" x14ac:dyDescent="0.25">
      <c r="A30" s="313"/>
      <c r="B30" s="514">
        <v>0</v>
      </c>
      <c r="C30" s="515">
        <v>0.92534000000000005</v>
      </c>
      <c r="D30" s="516">
        <v>0.23436999999999999</v>
      </c>
      <c r="E30" s="516">
        <v>8.3470000000000003E-2</v>
      </c>
      <c r="F30" s="516">
        <v>3.4369999999999998E-2</v>
      </c>
      <c r="G30" s="516">
        <v>0</v>
      </c>
      <c r="H30" s="516">
        <v>0.21537999999999999</v>
      </c>
      <c r="I30" s="516">
        <v>0.43675999999999998</v>
      </c>
    </row>
    <row r="31" spans="1:9" x14ac:dyDescent="0.25">
      <c r="A31" s="313"/>
      <c r="B31" s="514">
        <v>1</v>
      </c>
      <c r="C31" s="515">
        <v>7.2569999999999996E-2</v>
      </c>
      <c r="D31" s="516">
        <v>0.68945999999999996</v>
      </c>
      <c r="E31" s="516">
        <v>0.76842999999999995</v>
      </c>
      <c r="F31" s="516">
        <v>0.55449000000000004</v>
      </c>
      <c r="G31" s="516">
        <v>0</v>
      </c>
      <c r="H31" s="516">
        <v>0.62727999999999995</v>
      </c>
      <c r="I31" s="516">
        <v>0.41738999999999998</v>
      </c>
    </row>
    <row r="32" spans="1:9" x14ac:dyDescent="0.25">
      <c r="A32" s="313"/>
      <c r="B32" s="514">
        <v>2</v>
      </c>
      <c r="C32" s="515">
        <v>1.98E-3</v>
      </c>
      <c r="D32" s="516">
        <v>6.3909999999999995E-2</v>
      </c>
      <c r="E32" s="516">
        <v>0.10897999999999999</v>
      </c>
      <c r="F32" s="516">
        <v>0.20907999999999999</v>
      </c>
      <c r="G32" s="516">
        <v>0</v>
      </c>
      <c r="H32" s="516">
        <v>0.104</v>
      </c>
      <c r="I32" s="516">
        <v>8.8719999999999993E-2</v>
      </c>
    </row>
    <row r="33" spans="1:10" x14ac:dyDescent="0.25">
      <c r="A33" s="313"/>
      <c r="B33" s="514">
        <v>3</v>
      </c>
      <c r="C33" s="515">
        <v>8.0000000000000007E-5</v>
      </c>
      <c r="D33" s="516">
        <v>1.0710000000000001E-2</v>
      </c>
      <c r="E33" s="516">
        <v>3.1910000000000001E-2</v>
      </c>
      <c r="F33" s="516">
        <v>0.14437</v>
      </c>
      <c r="G33" s="516">
        <v>0</v>
      </c>
      <c r="H33" s="516">
        <v>3.8580000000000003E-2</v>
      </c>
      <c r="I33" s="516">
        <v>4.8169999999999998E-2</v>
      </c>
    </row>
    <row r="34" spans="1:10" x14ac:dyDescent="0.25">
      <c r="A34" s="313"/>
      <c r="B34" s="514">
        <v>4</v>
      </c>
      <c r="C34" s="515">
        <v>0</v>
      </c>
      <c r="D34" s="516">
        <v>1.42E-3</v>
      </c>
      <c r="E34" s="516">
        <v>6.1999999999999998E-3</v>
      </c>
      <c r="F34" s="516">
        <v>3.986E-2</v>
      </c>
      <c r="G34" s="516">
        <v>0</v>
      </c>
      <c r="H34" s="516">
        <v>4.4200000000000003E-3</v>
      </c>
      <c r="I34" s="516">
        <v>6.1700000000000001E-3</v>
      </c>
    </row>
    <row r="35" spans="1:10" x14ac:dyDescent="0.25">
      <c r="A35" s="313"/>
      <c r="B35" s="514">
        <v>5</v>
      </c>
      <c r="C35" s="515">
        <v>3.0000000000000001E-5</v>
      </c>
      <c r="D35" s="516">
        <v>1.2999999999999999E-4</v>
      </c>
      <c r="E35" s="516">
        <v>1.01E-3</v>
      </c>
      <c r="F35" s="516">
        <v>1.7829999999999999E-2</v>
      </c>
      <c r="G35" s="516">
        <v>0</v>
      </c>
      <c r="H35" s="516">
        <v>1.034E-2</v>
      </c>
      <c r="I35" s="516">
        <v>2.7899999999999999E-3</v>
      </c>
    </row>
    <row r="36" spans="1:10" x14ac:dyDescent="0.25">
      <c r="A36" s="313"/>
      <c r="B36" s="514">
        <v>6</v>
      </c>
      <c r="C36" s="515">
        <v>0</v>
      </c>
      <c r="D36" s="516">
        <v>0</v>
      </c>
      <c r="E36" s="516">
        <v>0</v>
      </c>
      <c r="F36" s="516">
        <v>0</v>
      </c>
      <c r="G36" s="516">
        <v>1</v>
      </c>
      <c r="H36" s="516">
        <v>0</v>
      </c>
      <c r="I36" s="516">
        <v>0</v>
      </c>
    </row>
    <row r="37" spans="1:10" x14ac:dyDescent="0.25">
      <c r="A37" s="315"/>
      <c r="B37" s="514" t="s">
        <v>220</v>
      </c>
      <c r="C37" s="515">
        <f>SUM(C30:C36)</f>
        <v>1</v>
      </c>
      <c r="D37" s="516">
        <f t="shared" ref="D37:I37" si="0">SUM(D30:D36)</f>
        <v>0.99999999999999989</v>
      </c>
      <c r="E37" s="516">
        <f t="shared" si="0"/>
        <v>0.99999999999999989</v>
      </c>
      <c r="F37" s="516">
        <f t="shared" si="0"/>
        <v>1</v>
      </c>
      <c r="G37" s="516">
        <f t="shared" si="0"/>
        <v>1</v>
      </c>
      <c r="H37" s="516">
        <f t="shared" si="0"/>
        <v>0.99999999999999989</v>
      </c>
      <c r="I37" s="516">
        <f t="shared" si="0"/>
        <v>1</v>
      </c>
    </row>
    <row r="39" spans="1:10" x14ac:dyDescent="0.25">
      <c r="B39" s="325" t="s">
        <v>225</v>
      </c>
    </row>
    <row r="40" spans="1:10" ht="30" x14ac:dyDescent="0.25">
      <c r="C40" s="312" t="s">
        <v>202</v>
      </c>
      <c r="D40" s="312" t="s">
        <v>204</v>
      </c>
      <c r="E40" s="312" t="s">
        <v>206</v>
      </c>
      <c r="F40" s="312" t="s">
        <v>208</v>
      </c>
      <c r="G40" s="312" t="s">
        <v>210</v>
      </c>
      <c r="H40" s="312" t="s">
        <v>212</v>
      </c>
      <c r="I40" s="261" t="s">
        <v>219</v>
      </c>
    </row>
    <row r="41" spans="1:10" ht="45" x14ac:dyDescent="0.25">
      <c r="B41" s="262"/>
      <c r="C41" s="261" t="s">
        <v>203</v>
      </c>
      <c r="D41" s="261" t="s">
        <v>205</v>
      </c>
      <c r="E41" s="261" t="s">
        <v>207</v>
      </c>
      <c r="F41" s="261" t="s">
        <v>209</v>
      </c>
      <c r="G41" s="261" t="s">
        <v>211</v>
      </c>
      <c r="H41" s="261" t="s">
        <v>213</v>
      </c>
      <c r="I41" s="261" t="s">
        <v>215</v>
      </c>
    </row>
    <row r="42" spans="1:10" ht="36.75" customHeight="1" x14ac:dyDescent="0.25">
      <c r="B42" s="320" t="s">
        <v>221</v>
      </c>
      <c r="C42" s="318">
        <v>1</v>
      </c>
      <c r="D42" s="319">
        <v>1</v>
      </c>
      <c r="E42" s="319">
        <v>1</v>
      </c>
      <c r="F42" s="319">
        <v>1</v>
      </c>
      <c r="G42" s="319">
        <v>1</v>
      </c>
      <c r="H42" s="319">
        <v>1</v>
      </c>
      <c r="I42" s="319">
        <v>1</v>
      </c>
      <c r="J42" s="321"/>
    </row>
    <row r="43" spans="1:10" x14ac:dyDescent="0.25">
      <c r="B43" s="261" t="s">
        <v>222</v>
      </c>
      <c r="C43" s="517">
        <f t="shared" ref="C43:C49" si="1">$E6*C30*$C$42</f>
        <v>0</v>
      </c>
      <c r="D43" s="517">
        <f>$E6*D30*$D$42</f>
        <v>0</v>
      </c>
      <c r="E43" s="518">
        <f>$E6*E30*$E$42</f>
        <v>0</v>
      </c>
      <c r="F43" s="518">
        <f>$E6*F30*$F$42</f>
        <v>0</v>
      </c>
      <c r="G43" s="518">
        <f>$E6*G30*$G$42</f>
        <v>0</v>
      </c>
      <c r="H43" s="517">
        <f t="shared" ref="H43:H49" si="2">$E6*H30*$H$42</f>
        <v>0</v>
      </c>
      <c r="I43" s="517">
        <f>$E6*I30*$I$42</f>
        <v>0</v>
      </c>
      <c r="J43" s="262"/>
    </row>
    <row r="44" spans="1:10" x14ac:dyDescent="0.25">
      <c r="B44" s="261" t="s">
        <v>184</v>
      </c>
      <c r="C44" s="517">
        <f t="shared" si="1"/>
        <v>2090.0160000000001</v>
      </c>
      <c r="D44" s="517">
        <f t="shared" ref="D44:D49" si="3">$E7*D31*$D$42</f>
        <v>19856.448</v>
      </c>
      <c r="E44" s="518">
        <f t="shared" ref="E44:E49" si="4">$E7*E31*$E$42</f>
        <v>22130.784</v>
      </c>
      <c r="F44" s="518">
        <f t="shared" ref="F44:F49" si="5">$E7*F31*$F$42</f>
        <v>15969.312000000002</v>
      </c>
      <c r="G44" s="518">
        <f t="shared" ref="G44:G49" si="6">$E7*G31*$G$42</f>
        <v>0</v>
      </c>
      <c r="H44" s="517">
        <f t="shared" si="2"/>
        <v>18065.663999999997</v>
      </c>
      <c r="I44" s="517">
        <f t="shared" ref="I44:I49" si="7">$E7*I31*$I$42</f>
        <v>12020.832</v>
      </c>
    </row>
    <row r="45" spans="1:10" x14ac:dyDescent="0.25">
      <c r="B45" s="261" t="s">
        <v>186</v>
      </c>
      <c r="C45" s="517">
        <f t="shared" si="1"/>
        <v>893.37599999999998</v>
      </c>
      <c r="D45" s="517">
        <f t="shared" si="3"/>
        <v>28836.191999999999</v>
      </c>
      <c r="E45" s="518">
        <f t="shared" si="4"/>
        <v>49171.775999999998</v>
      </c>
      <c r="F45" s="518">
        <f t="shared" si="5"/>
        <v>94336.895999999993</v>
      </c>
      <c r="G45" s="518">
        <f t="shared" si="6"/>
        <v>0</v>
      </c>
      <c r="H45" s="517">
        <f t="shared" si="2"/>
        <v>46924.799999999996</v>
      </c>
      <c r="I45" s="517">
        <f t="shared" si="7"/>
        <v>40030.464</v>
      </c>
    </row>
    <row r="46" spans="1:10" x14ac:dyDescent="0.25">
      <c r="B46" s="261" t="s">
        <v>189</v>
      </c>
      <c r="C46" s="517">
        <f t="shared" si="1"/>
        <v>80.64</v>
      </c>
      <c r="D46" s="517">
        <f t="shared" si="3"/>
        <v>10795.68</v>
      </c>
      <c r="E46" s="518">
        <f t="shared" si="4"/>
        <v>32165.280000000002</v>
      </c>
      <c r="F46" s="518">
        <f t="shared" si="5"/>
        <v>145524.96</v>
      </c>
      <c r="G46" s="518">
        <f t="shared" si="6"/>
        <v>0</v>
      </c>
      <c r="H46" s="517">
        <f t="shared" si="2"/>
        <v>38888.640000000007</v>
      </c>
      <c r="I46" s="517">
        <f t="shared" si="7"/>
        <v>48555.360000000001</v>
      </c>
    </row>
    <row r="47" spans="1:10" x14ac:dyDescent="0.25">
      <c r="B47" s="261" t="s">
        <v>191</v>
      </c>
      <c r="C47" s="517">
        <f t="shared" si="1"/>
        <v>0</v>
      </c>
      <c r="D47" s="517">
        <f t="shared" si="3"/>
        <v>3626.1120000000001</v>
      </c>
      <c r="E47" s="518">
        <f t="shared" si="4"/>
        <v>15832.32</v>
      </c>
      <c r="F47" s="518">
        <f t="shared" si="5"/>
        <v>101786.496</v>
      </c>
      <c r="G47" s="518">
        <f t="shared" si="6"/>
        <v>0</v>
      </c>
      <c r="H47" s="517">
        <f t="shared" si="2"/>
        <v>11286.912</v>
      </c>
      <c r="I47" s="517">
        <f t="shared" si="7"/>
        <v>15755.712</v>
      </c>
    </row>
    <row r="48" spans="1:10" x14ac:dyDescent="0.25">
      <c r="B48" s="261" t="s">
        <v>193</v>
      </c>
      <c r="C48" s="517">
        <f t="shared" si="1"/>
        <v>170.78399999999999</v>
      </c>
      <c r="D48" s="517">
        <f t="shared" si="3"/>
        <v>740.06399999999996</v>
      </c>
      <c r="E48" s="518">
        <f t="shared" si="4"/>
        <v>5749.7280000000001</v>
      </c>
      <c r="F48" s="518">
        <f t="shared" si="5"/>
        <v>101502.624</v>
      </c>
      <c r="G48" s="518">
        <f t="shared" si="6"/>
        <v>0</v>
      </c>
      <c r="H48" s="517">
        <f t="shared" si="2"/>
        <v>58863.552000000003</v>
      </c>
      <c r="I48" s="517">
        <f t="shared" si="7"/>
        <v>15882.912</v>
      </c>
    </row>
    <row r="49" spans="1:12" x14ac:dyDescent="0.25">
      <c r="B49" s="261" t="s">
        <v>195</v>
      </c>
      <c r="C49" s="517">
        <f t="shared" si="1"/>
        <v>0</v>
      </c>
      <c r="D49" s="517">
        <f t="shared" si="3"/>
        <v>0</v>
      </c>
      <c r="E49" s="518">
        <f t="shared" si="4"/>
        <v>0</v>
      </c>
      <c r="F49" s="518">
        <f t="shared" si="5"/>
        <v>0</v>
      </c>
      <c r="G49" s="518">
        <f t="shared" si="6"/>
        <v>9600000</v>
      </c>
      <c r="H49" s="517">
        <f t="shared" si="2"/>
        <v>0</v>
      </c>
      <c r="I49" s="517">
        <f t="shared" si="7"/>
        <v>0</v>
      </c>
    </row>
    <row r="50" spans="1:12" x14ac:dyDescent="0.25">
      <c r="B50" s="316" t="s">
        <v>223</v>
      </c>
      <c r="C50" s="317">
        <f t="shared" ref="C50:I50" si="8">SUM(C43:C49)</f>
        <v>3234.8159999999998</v>
      </c>
      <c r="D50" s="317">
        <f t="shared" si="8"/>
        <v>63854.495999999999</v>
      </c>
      <c r="E50" s="317">
        <f t="shared" si="8"/>
        <v>125049.88800000001</v>
      </c>
      <c r="F50" s="317">
        <f t="shared" si="8"/>
        <v>459120.288</v>
      </c>
      <c r="G50" s="317">
        <f t="shared" si="8"/>
        <v>9600000</v>
      </c>
      <c r="H50" s="317">
        <f t="shared" si="8"/>
        <v>174029.568</v>
      </c>
      <c r="I50" s="317">
        <f t="shared" si="8"/>
        <v>132245.28</v>
      </c>
    </row>
    <row r="53" spans="1:12" x14ac:dyDescent="0.25">
      <c r="A53" s="520"/>
      <c r="B53" s="520"/>
      <c r="C53" s="520"/>
      <c r="D53" s="520"/>
      <c r="E53" s="520"/>
      <c r="F53" s="520"/>
      <c r="G53" s="520"/>
      <c r="H53" s="520"/>
      <c r="I53" s="520"/>
    </row>
    <row r="54" spans="1:12" s="509" customFormat="1" x14ac:dyDescent="0.25"/>
    <row r="57" spans="1:12" x14ac:dyDescent="0.25">
      <c r="B57" s="325" t="s">
        <v>812</v>
      </c>
    </row>
    <row r="58" spans="1:12" s="262" customFormat="1" ht="15" customHeight="1" x14ac:dyDescent="0.25">
      <c r="B58" s="1259" t="s">
        <v>7</v>
      </c>
      <c r="C58" s="1259" t="s">
        <v>542</v>
      </c>
      <c r="D58" s="1254" t="s">
        <v>514</v>
      </c>
      <c r="E58" s="1254"/>
      <c r="F58" s="1254"/>
      <c r="G58" s="1254"/>
      <c r="H58" s="1256" t="s">
        <v>541</v>
      </c>
      <c r="I58" s="1256"/>
      <c r="J58" s="1256"/>
      <c r="K58" s="1256"/>
      <c r="L58" s="1256"/>
    </row>
    <row r="59" spans="1:12" s="374" customFormat="1" ht="57.75" customHeight="1" x14ac:dyDescent="0.25">
      <c r="B59" s="1260"/>
      <c r="C59" s="1260"/>
      <c r="D59" s="911" t="s">
        <v>537</v>
      </c>
      <c r="E59" s="911" t="s">
        <v>538</v>
      </c>
      <c r="F59" s="911" t="s">
        <v>539</v>
      </c>
      <c r="G59" s="911" t="s">
        <v>540</v>
      </c>
      <c r="H59" s="911" t="s">
        <v>477</v>
      </c>
      <c r="I59" s="911" t="s">
        <v>546</v>
      </c>
      <c r="J59" s="911" t="s">
        <v>545</v>
      </c>
      <c r="K59" s="911" t="s">
        <v>548</v>
      </c>
      <c r="L59" s="911" t="s">
        <v>549</v>
      </c>
    </row>
    <row r="60" spans="1:12" s="262" customFormat="1" x14ac:dyDescent="0.25">
      <c r="B60" s="477">
        <v>2009</v>
      </c>
      <c r="C60" s="907">
        <v>55.6</v>
      </c>
      <c r="D60" s="907">
        <v>550</v>
      </c>
      <c r="E60" s="907">
        <v>47380</v>
      </c>
      <c r="F60" s="907">
        <v>63558</v>
      </c>
      <c r="G60" s="907">
        <v>96458</v>
      </c>
      <c r="H60" s="952">
        <f>D60/(C60*10)</f>
        <v>0.98920863309352514</v>
      </c>
      <c r="I60" s="908">
        <v>7.93</v>
      </c>
      <c r="J60" s="952">
        <f>E60/(C60*10)</f>
        <v>85.2158273381295</v>
      </c>
      <c r="K60" s="952">
        <f>F60/(C60*10)</f>
        <v>114.31294964028777</v>
      </c>
      <c r="L60" s="952">
        <f>G60/(C60*10)</f>
        <v>173.48561151079136</v>
      </c>
    </row>
    <row r="61" spans="1:12" s="262" customFormat="1" x14ac:dyDescent="0.25">
      <c r="B61" s="477">
        <v>2010</v>
      </c>
      <c r="C61" s="907">
        <v>56.2</v>
      </c>
      <c r="D61" s="907">
        <v>496</v>
      </c>
      <c r="E61" s="907">
        <v>44486</v>
      </c>
      <c r="F61" s="907">
        <v>59628</v>
      </c>
      <c r="G61" s="907">
        <v>90604</v>
      </c>
      <c r="H61" s="952">
        <f t="shared" ref="H61:H64" si="9">D61/(C61*10)</f>
        <v>0.88256227758007122</v>
      </c>
      <c r="I61" s="908">
        <v>7.22</v>
      </c>
      <c r="J61" s="952">
        <f>E61/(C61*10)</f>
        <v>79.156583629893234</v>
      </c>
      <c r="K61" s="952">
        <f>F61/(C61*10)</f>
        <v>106.09964412811388</v>
      </c>
      <c r="L61" s="952">
        <f>G61/(C61*10)</f>
        <v>161.21708185053382</v>
      </c>
    </row>
    <row r="62" spans="1:12" s="262" customFormat="1" x14ac:dyDescent="0.25">
      <c r="B62" s="477">
        <v>2011</v>
      </c>
      <c r="C62" s="907">
        <v>56</v>
      </c>
      <c r="D62" s="907">
        <v>488</v>
      </c>
      <c r="E62" s="907">
        <v>44605</v>
      </c>
      <c r="F62" s="907">
        <v>59184</v>
      </c>
      <c r="G62" s="907">
        <v>90106</v>
      </c>
      <c r="H62" s="952">
        <f t="shared" si="9"/>
        <v>0.87142857142857144</v>
      </c>
      <c r="I62" s="908">
        <v>6.8</v>
      </c>
      <c r="J62" s="952">
        <f>E62/(C62*10)</f>
        <v>79.651785714285708</v>
      </c>
      <c r="K62" s="952">
        <f>F62/(C62*10)</f>
        <v>105.68571428571428</v>
      </c>
      <c r="L62" s="952">
        <f>G62/(C62*10)</f>
        <v>160.90357142857144</v>
      </c>
    </row>
    <row r="63" spans="1:12" s="262" customFormat="1" x14ac:dyDescent="0.25">
      <c r="B63" s="477">
        <v>2012</v>
      </c>
      <c r="C63" s="907">
        <v>56.4</v>
      </c>
      <c r="D63" s="907">
        <v>511</v>
      </c>
      <c r="E63" s="907">
        <v>44395</v>
      </c>
      <c r="F63" s="907">
        <v>59533</v>
      </c>
      <c r="G63" s="907">
        <v>90508</v>
      </c>
      <c r="H63" s="952">
        <f t="shared" si="9"/>
        <v>0.90602836879432624</v>
      </c>
      <c r="I63" s="908">
        <v>5.87</v>
      </c>
      <c r="J63" s="952">
        <f>E63/(C63*10)</f>
        <v>78.714539007092199</v>
      </c>
      <c r="K63" s="952">
        <f>F63/(C63*10)</f>
        <v>105.55496453900709</v>
      </c>
      <c r="L63" s="952">
        <f>G63/(C63*10)</f>
        <v>160.47517730496455</v>
      </c>
    </row>
    <row r="64" spans="1:12" s="262" customFormat="1" x14ac:dyDescent="0.25">
      <c r="B64" s="477">
        <v>2013</v>
      </c>
      <c r="C64" s="907">
        <v>56.5</v>
      </c>
      <c r="D64" s="907">
        <v>466</v>
      </c>
      <c r="E64" s="907">
        <v>42716</v>
      </c>
      <c r="F64" s="907">
        <v>52873</v>
      </c>
      <c r="G64" s="907">
        <v>92518</v>
      </c>
      <c r="H64" s="952">
        <f t="shared" si="9"/>
        <v>0.82477876106194692</v>
      </c>
      <c r="I64" s="908">
        <v>5.24</v>
      </c>
      <c r="J64" s="952">
        <f>E64/(C64*10)</f>
        <v>75.603539823008845</v>
      </c>
      <c r="K64" s="952">
        <f>F64/(C64*10)</f>
        <v>93.580530973451332</v>
      </c>
      <c r="L64" s="952">
        <f>G64/(C64*10)</f>
        <v>163.74867256637168</v>
      </c>
    </row>
    <row r="65" spans="2:12" s="509" customFormat="1" x14ac:dyDescent="0.25">
      <c r="B65" s="909" t="s">
        <v>56</v>
      </c>
      <c r="C65" s="910">
        <f t="shared" ref="C65:H65" si="10">AVERAGE(C60:C64)</f>
        <v>56.140000000000008</v>
      </c>
      <c r="D65" s="910">
        <f t="shared" si="10"/>
        <v>502.2</v>
      </c>
      <c r="E65" s="910">
        <f t="shared" si="10"/>
        <v>44716.4</v>
      </c>
      <c r="F65" s="910">
        <f t="shared" si="10"/>
        <v>58955.199999999997</v>
      </c>
      <c r="G65" s="910">
        <f t="shared" si="10"/>
        <v>92038.8</v>
      </c>
      <c r="H65" s="910">
        <f t="shared" si="10"/>
        <v>0.89480132239168808</v>
      </c>
      <c r="I65" s="910">
        <f>AVERAGE(I60:I64)</f>
        <v>6.6120000000000001</v>
      </c>
      <c r="J65" s="910">
        <f>AVERAGE(J60:J64)</f>
        <v>79.6684551024819</v>
      </c>
      <c r="K65" s="910">
        <f>AVERAGE(K60:K64)</f>
        <v>105.04676071331487</v>
      </c>
      <c r="L65" s="910">
        <f>AVERAGE(L60:L64)</f>
        <v>163.96602293224655</v>
      </c>
    </row>
    <row r="66" spans="2:12" x14ac:dyDescent="0.25">
      <c r="B66" s="1261" t="s">
        <v>555</v>
      </c>
      <c r="C66" s="1261"/>
      <c r="D66" s="1261"/>
      <c r="E66" s="1261"/>
      <c r="F66" s="1261"/>
      <c r="G66" s="1261"/>
      <c r="H66" s="1261"/>
      <c r="I66" s="1261"/>
    </row>
    <row r="67" spans="2:12" ht="15" customHeight="1" x14ac:dyDescent="0.25">
      <c r="B67" s="1255" t="s">
        <v>543</v>
      </c>
      <c r="C67" s="1255"/>
      <c r="D67" s="1255"/>
      <c r="E67" s="1255"/>
      <c r="F67" s="1255"/>
      <c r="G67" s="1255"/>
      <c r="H67" s="1255"/>
      <c r="I67" s="1255"/>
      <c r="J67" s="1255"/>
      <c r="K67" s="1255"/>
      <c r="L67" s="1255"/>
    </row>
    <row r="68" spans="2:12" x14ac:dyDescent="0.25">
      <c r="B68" s="1255" t="s">
        <v>556</v>
      </c>
      <c r="C68" s="1255"/>
      <c r="D68" s="1255"/>
      <c r="E68" s="1255"/>
      <c r="F68" s="1255"/>
      <c r="G68" s="1255"/>
      <c r="H68" s="1255"/>
      <c r="I68" s="1255"/>
      <c r="J68" s="1255"/>
      <c r="K68" s="1255"/>
      <c r="L68" s="1255"/>
    </row>
  </sheetData>
  <mergeCells count="19">
    <mergeCell ref="D58:G58"/>
    <mergeCell ref="B67:L67"/>
    <mergeCell ref="B68:L68"/>
    <mergeCell ref="H58:L58"/>
    <mergeCell ref="B28:B29"/>
    <mergeCell ref="C58:C59"/>
    <mergeCell ref="B58:B59"/>
    <mergeCell ref="B66:I66"/>
    <mergeCell ref="A1:H1"/>
    <mergeCell ref="B3:E3"/>
    <mergeCell ref="G3:K3"/>
    <mergeCell ref="B4:E4"/>
    <mergeCell ref="G4:K4"/>
    <mergeCell ref="G5:K6"/>
    <mergeCell ref="G7:K11"/>
    <mergeCell ref="B16:C16"/>
    <mergeCell ref="D16:E16"/>
    <mergeCell ref="B17:C17"/>
    <mergeCell ref="D17:E17"/>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AH71"/>
  <sheetViews>
    <sheetView zoomScale="86" zoomScaleNormal="86" workbookViewId="0">
      <selection activeCell="H22" sqref="H22"/>
    </sheetView>
  </sheetViews>
  <sheetFormatPr defaultRowHeight="15" x14ac:dyDescent="0.25"/>
  <cols>
    <col min="1" max="1" width="8.85546875" style="324" customWidth="1"/>
    <col min="2" max="2" width="29.28515625" style="324" customWidth="1"/>
    <col min="3" max="5" width="10.7109375" style="324" customWidth="1"/>
    <col min="6" max="6" width="14.42578125" style="324" customWidth="1"/>
    <col min="7" max="9" width="10.7109375" style="324" customWidth="1"/>
    <col min="10" max="10" width="11.85546875" style="324" customWidth="1"/>
    <col min="11" max="16" width="10.7109375" style="324" customWidth="1"/>
    <col min="17" max="18" width="10.7109375" style="332" customWidth="1"/>
    <col min="19" max="22" width="10.7109375" style="324" customWidth="1"/>
    <col min="23" max="30" width="10.7109375" style="332" customWidth="1"/>
    <col min="31" max="31" width="13.5703125" style="332" customWidth="1"/>
    <col min="32" max="32" width="20.7109375" style="332" customWidth="1"/>
    <col min="33" max="34" width="9.140625" style="332"/>
    <col min="35" max="36" width="9.140625" style="324"/>
    <col min="37" max="37" width="20.7109375" style="324" customWidth="1"/>
    <col min="38" max="16384" width="9.140625" style="324"/>
  </cols>
  <sheetData>
    <row r="1" spans="1:33" ht="15" customHeight="1" x14ac:dyDescent="0.25">
      <c r="A1" s="367" t="s">
        <v>249</v>
      </c>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row>
    <row r="2" spans="1:33" ht="15" customHeight="1" thickBot="1" x14ac:dyDescent="0.3">
      <c r="B2" s="341" t="s">
        <v>300</v>
      </c>
      <c r="F2" s="336"/>
      <c r="G2" s="334"/>
      <c r="H2" s="330"/>
      <c r="I2" s="330"/>
      <c r="J2" s="330"/>
      <c r="K2" s="334"/>
      <c r="L2" s="334"/>
      <c r="M2" s="330"/>
      <c r="N2" s="330"/>
      <c r="O2" s="330"/>
      <c r="P2" s="334"/>
      <c r="Q2" s="334"/>
      <c r="R2" s="330"/>
      <c r="S2" s="330"/>
      <c r="T2" s="330"/>
      <c r="U2" s="334"/>
      <c r="V2" s="334"/>
      <c r="W2" s="330"/>
      <c r="X2" s="330"/>
      <c r="Y2" s="330"/>
      <c r="Z2" s="334"/>
      <c r="AA2" s="334"/>
      <c r="AB2" s="330"/>
      <c r="AC2" s="330"/>
      <c r="AD2" s="330"/>
      <c r="AE2" s="334"/>
      <c r="AF2" s="334"/>
      <c r="AG2" s="334"/>
    </row>
    <row r="3" spans="1:33" s="326" customFormat="1" ht="15" customHeight="1" thickBot="1" x14ac:dyDescent="0.3">
      <c r="B3" s="1266" t="s">
        <v>247</v>
      </c>
      <c r="C3" s="1262" t="s">
        <v>245</v>
      </c>
      <c r="D3" s="1263"/>
      <c r="E3" s="1264"/>
      <c r="F3" s="349"/>
      <c r="G3" s="372"/>
      <c r="H3" s="478"/>
      <c r="I3" s="478"/>
      <c r="J3" s="478"/>
      <c r="K3" s="477"/>
      <c r="L3" s="372"/>
      <c r="M3" s="478"/>
      <c r="N3" s="478"/>
      <c r="O3" s="478"/>
      <c r="P3" s="477"/>
      <c r="Q3" s="372"/>
      <c r="R3" s="478"/>
      <c r="S3" s="478"/>
      <c r="T3" s="478"/>
      <c r="U3" s="477"/>
      <c r="V3" s="372"/>
      <c r="W3" s="478"/>
      <c r="X3" s="478"/>
      <c r="Y3" s="478"/>
      <c r="Z3" s="477"/>
      <c r="AA3" s="372"/>
      <c r="AB3" s="478"/>
      <c r="AC3" s="478"/>
      <c r="AD3" s="478"/>
      <c r="AE3" s="477"/>
      <c r="AF3" s="477"/>
      <c r="AG3" s="477"/>
    </row>
    <row r="4" spans="1:33" ht="15" customHeight="1" thickBot="1" x14ac:dyDescent="0.3">
      <c r="B4" s="1267"/>
      <c r="C4" s="350">
        <v>10000</v>
      </c>
      <c r="D4" s="351">
        <v>15000</v>
      </c>
      <c r="E4" s="352">
        <v>20000</v>
      </c>
      <c r="F4" s="336"/>
      <c r="G4" s="262"/>
      <c r="H4" s="479"/>
      <c r="I4" s="479"/>
      <c r="J4" s="479"/>
      <c r="K4" s="334"/>
      <c r="L4" s="262"/>
      <c r="M4" s="479"/>
      <c r="N4" s="479"/>
      <c r="O4" s="479"/>
      <c r="P4" s="334"/>
      <c r="Q4" s="262"/>
      <c r="R4" s="479"/>
      <c r="S4" s="479"/>
      <c r="T4" s="479"/>
      <c r="U4" s="334"/>
      <c r="V4" s="262"/>
      <c r="W4" s="479"/>
      <c r="X4" s="479"/>
      <c r="Y4" s="479"/>
      <c r="Z4" s="334"/>
      <c r="AA4" s="262"/>
      <c r="AB4" s="479"/>
      <c r="AC4" s="479"/>
      <c r="AD4" s="479"/>
      <c r="AE4" s="334"/>
      <c r="AF4" s="334"/>
      <c r="AG4" s="334"/>
    </row>
    <row r="5" spans="1:33" ht="15" customHeight="1" thickTop="1" x14ac:dyDescent="0.25">
      <c r="B5" s="344" t="s">
        <v>231</v>
      </c>
      <c r="C5" s="354">
        <v>58.2</v>
      </c>
      <c r="D5" s="355">
        <v>44.9</v>
      </c>
      <c r="E5" s="356">
        <v>38</v>
      </c>
      <c r="F5" s="336"/>
      <c r="G5" s="262"/>
      <c r="H5" s="479"/>
      <c r="I5" s="479"/>
      <c r="J5" s="479"/>
      <c r="K5" s="334"/>
      <c r="L5" s="262"/>
      <c r="M5" s="479"/>
      <c r="N5" s="479"/>
      <c r="O5" s="479"/>
      <c r="P5" s="334"/>
      <c r="Q5" s="262"/>
      <c r="R5" s="479"/>
      <c r="S5" s="479"/>
      <c r="T5" s="479"/>
      <c r="U5" s="334"/>
      <c r="V5" s="262"/>
      <c r="W5" s="479"/>
      <c r="X5" s="479"/>
      <c r="Y5" s="479"/>
      <c r="Z5" s="334"/>
      <c r="AA5" s="262"/>
      <c r="AB5" s="479"/>
      <c r="AC5" s="479"/>
      <c r="AD5" s="479"/>
      <c r="AE5" s="334"/>
      <c r="AF5" s="334"/>
      <c r="AG5" s="334"/>
    </row>
    <row r="6" spans="1:33" ht="15" customHeight="1" x14ac:dyDescent="0.25">
      <c r="B6" s="343" t="s">
        <v>232</v>
      </c>
      <c r="C6" s="357">
        <v>75.900000000000006</v>
      </c>
      <c r="D6" s="358">
        <v>58.1</v>
      </c>
      <c r="E6" s="359">
        <v>49</v>
      </c>
      <c r="F6" s="336"/>
      <c r="G6" s="262"/>
      <c r="H6" s="479"/>
      <c r="I6" s="479"/>
      <c r="J6" s="479"/>
      <c r="K6" s="334"/>
      <c r="L6" s="262"/>
      <c r="M6" s="479"/>
      <c r="N6" s="479"/>
      <c r="O6" s="479"/>
      <c r="P6" s="334"/>
      <c r="Q6" s="262"/>
      <c r="R6" s="479"/>
      <c r="S6" s="479"/>
      <c r="T6" s="479"/>
      <c r="U6" s="334"/>
      <c r="V6" s="262"/>
      <c r="W6" s="479"/>
      <c r="X6" s="479"/>
      <c r="Y6" s="479"/>
      <c r="Z6" s="334"/>
      <c r="AA6" s="262"/>
      <c r="AB6" s="479"/>
      <c r="AC6" s="479"/>
      <c r="AD6" s="479"/>
      <c r="AE6" s="334"/>
      <c r="AF6" s="334"/>
      <c r="AG6" s="334"/>
    </row>
    <row r="7" spans="1:33" ht="15" customHeight="1" x14ac:dyDescent="0.25">
      <c r="B7" s="343" t="s">
        <v>233</v>
      </c>
      <c r="C7" s="357">
        <v>93.3</v>
      </c>
      <c r="D7" s="358">
        <v>71</v>
      </c>
      <c r="E7" s="359">
        <v>59.5</v>
      </c>
      <c r="F7" s="336"/>
      <c r="G7" s="480"/>
      <c r="H7" s="479"/>
      <c r="I7" s="479"/>
      <c r="J7" s="479"/>
      <c r="K7" s="334"/>
      <c r="L7" s="480"/>
      <c r="M7" s="479"/>
      <c r="N7" s="479"/>
      <c r="O7" s="479"/>
      <c r="P7" s="334"/>
      <c r="Q7" s="480"/>
      <c r="R7" s="479"/>
      <c r="S7" s="479"/>
      <c r="T7" s="479"/>
      <c r="U7" s="334"/>
      <c r="V7" s="480"/>
      <c r="W7" s="479"/>
      <c r="X7" s="479"/>
      <c r="Y7" s="479"/>
      <c r="Z7" s="334"/>
      <c r="AA7" s="480"/>
      <c r="AB7" s="479"/>
      <c r="AC7" s="479"/>
      <c r="AD7" s="479"/>
      <c r="AE7" s="334"/>
      <c r="AF7" s="334"/>
      <c r="AG7" s="334"/>
    </row>
    <row r="8" spans="1:33" ht="15" customHeight="1" x14ac:dyDescent="0.25">
      <c r="B8" s="345" t="s">
        <v>246</v>
      </c>
      <c r="C8" s="357">
        <f>AVERAGE(C5:C7)</f>
        <v>75.800000000000011</v>
      </c>
      <c r="D8" s="358">
        <f>AVERAGE(D5:D7)</f>
        <v>58</v>
      </c>
      <c r="E8" s="359">
        <f>AVERAGE(E5:E7)</f>
        <v>48.833333333333336</v>
      </c>
      <c r="F8" s="336"/>
      <c r="G8" s="480"/>
      <c r="H8" s="479"/>
      <c r="I8" s="479"/>
      <c r="J8" s="479"/>
      <c r="K8" s="334"/>
      <c r="L8" s="480"/>
      <c r="M8" s="479"/>
      <c r="N8" s="479"/>
      <c r="O8" s="479"/>
      <c r="P8" s="334"/>
      <c r="Q8" s="480"/>
      <c r="R8" s="479"/>
      <c r="S8" s="479"/>
      <c r="T8" s="479"/>
      <c r="U8" s="334"/>
      <c r="V8" s="480"/>
      <c r="W8" s="479"/>
      <c r="X8" s="479"/>
      <c r="Y8" s="479"/>
      <c r="Z8" s="334"/>
      <c r="AA8" s="480"/>
      <c r="AB8" s="479"/>
      <c r="AC8" s="479"/>
      <c r="AD8" s="479"/>
      <c r="AE8" s="334"/>
      <c r="AF8" s="334"/>
      <c r="AG8" s="334"/>
    </row>
    <row r="9" spans="1:33" ht="15" customHeight="1" x14ac:dyDescent="0.25">
      <c r="B9" s="345" t="s">
        <v>235</v>
      </c>
      <c r="C9" s="357">
        <v>92.6</v>
      </c>
      <c r="D9" s="358">
        <v>70.8</v>
      </c>
      <c r="E9" s="359">
        <v>59.7</v>
      </c>
      <c r="F9" s="336"/>
      <c r="G9" s="480"/>
      <c r="H9" s="479"/>
      <c r="I9" s="479"/>
      <c r="J9" s="479"/>
      <c r="K9" s="334"/>
      <c r="L9" s="480"/>
      <c r="M9" s="479"/>
      <c r="N9" s="479"/>
      <c r="O9" s="479"/>
      <c r="P9" s="334"/>
      <c r="Q9" s="480"/>
      <c r="R9" s="479"/>
      <c r="S9" s="479"/>
      <c r="T9" s="479"/>
      <c r="U9" s="334"/>
      <c r="V9" s="480"/>
      <c r="W9" s="479"/>
      <c r="X9" s="479"/>
      <c r="Y9" s="479"/>
      <c r="Z9" s="334"/>
      <c r="AA9" s="480"/>
      <c r="AB9" s="479"/>
      <c r="AC9" s="479"/>
      <c r="AD9" s="479"/>
      <c r="AE9" s="334"/>
      <c r="AF9" s="334"/>
      <c r="AG9" s="334"/>
    </row>
    <row r="10" spans="1:33" ht="15" customHeight="1" x14ac:dyDescent="0.25">
      <c r="B10" s="346" t="s">
        <v>236</v>
      </c>
      <c r="C10" s="360">
        <v>81.2</v>
      </c>
      <c r="D10" s="361">
        <v>62.5</v>
      </c>
      <c r="E10" s="362">
        <v>52.9</v>
      </c>
      <c r="F10" s="336"/>
      <c r="G10" s="330"/>
      <c r="H10" s="481"/>
      <c r="I10" s="481"/>
      <c r="J10" s="481"/>
      <c r="K10" s="334"/>
      <c r="L10" s="330"/>
      <c r="M10" s="481"/>
      <c r="N10" s="481"/>
      <c r="O10" s="481"/>
      <c r="P10" s="334"/>
      <c r="Q10" s="330"/>
      <c r="R10" s="481"/>
      <c r="S10" s="481"/>
      <c r="T10" s="481"/>
      <c r="U10" s="334"/>
      <c r="V10" s="330"/>
      <c r="W10" s="481"/>
      <c r="X10" s="481"/>
      <c r="Y10" s="481"/>
      <c r="Z10" s="334"/>
      <c r="AA10" s="330"/>
      <c r="AB10" s="481"/>
      <c r="AC10" s="481"/>
      <c r="AD10" s="481"/>
      <c r="AE10" s="334"/>
      <c r="AF10" s="334"/>
      <c r="AG10" s="334"/>
    </row>
    <row r="11" spans="1:33" s="332" customFormat="1" ht="15" customHeight="1" thickBot="1" x14ac:dyDescent="0.3">
      <c r="B11" s="347" t="s">
        <v>248</v>
      </c>
      <c r="C11" s="363">
        <f>AVERAGE(C8:C10)</f>
        <v>83.2</v>
      </c>
      <c r="D11" s="473">
        <f>AVERAGE(D8:D10)</f>
        <v>63.766666666666673</v>
      </c>
      <c r="E11" s="364">
        <f>AVERAGE(E8:E10)</f>
        <v>53.81111111111111</v>
      </c>
      <c r="F11" s="336"/>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row>
    <row r="12" spans="1:33" s="332" customFormat="1" x14ac:dyDescent="0.25">
      <c r="B12" s="332" t="s">
        <v>237</v>
      </c>
      <c r="F12" s="336"/>
      <c r="K12" s="336"/>
      <c r="L12" s="330"/>
      <c r="M12" s="324"/>
      <c r="N12" s="324"/>
      <c r="O12" s="324"/>
      <c r="Q12" s="324"/>
      <c r="R12" s="324"/>
      <c r="S12" s="324"/>
      <c r="T12" s="324"/>
    </row>
    <row r="13" spans="1:33" ht="34.5" customHeight="1" x14ac:dyDescent="0.25">
      <c r="B13" s="1265" t="s">
        <v>250</v>
      </c>
      <c r="C13" s="1265"/>
      <c r="D13" s="1265"/>
      <c r="E13" s="1265"/>
      <c r="F13" s="1265"/>
      <c r="G13" s="1265"/>
      <c r="H13" s="1265"/>
      <c r="I13" s="1265"/>
      <c r="J13" s="1265"/>
      <c r="K13" s="1265"/>
      <c r="S13" s="332"/>
      <c r="T13" s="332"/>
      <c r="U13" s="332"/>
      <c r="V13" s="332"/>
    </row>
    <row r="14" spans="1:33" ht="15.75" x14ac:dyDescent="0.25">
      <c r="B14" s="490" t="s">
        <v>252</v>
      </c>
      <c r="S14" s="332"/>
      <c r="T14" s="332"/>
      <c r="U14" s="332"/>
      <c r="V14" s="332"/>
    </row>
    <row r="15" spans="1:33" x14ac:dyDescent="0.25">
      <c r="B15" s="482" t="s">
        <v>251</v>
      </c>
      <c r="S15" s="332"/>
      <c r="T15" s="332"/>
      <c r="U15" s="332"/>
      <c r="V15" s="332"/>
    </row>
    <row r="16" spans="1:33" x14ac:dyDescent="0.25">
      <c r="B16" s="330"/>
      <c r="S16" s="332"/>
      <c r="T16" s="332"/>
      <c r="U16" s="332"/>
      <c r="V16" s="332"/>
    </row>
    <row r="17" spans="1:26" ht="18.75" x14ac:dyDescent="0.25">
      <c r="A17" s="367" t="s">
        <v>74</v>
      </c>
      <c r="W17" s="324"/>
      <c r="X17" s="324"/>
      <c r="Y17" s="324"/>
      <c r="Z17" s="324"/>
    </row>
    <row r="18" spans="1:26" x14ac:dyDescent="0.25">
      <c r="B18" s="325" t="s">
        <v>306</v>
      </c>
      <c r="W18" s="324"/>
      <c r="X18" s="324"/>
      <c r="Y18" s="324"/>
      <c r="Z18" s="324"/>
    </row>
    <row r="19" spans="1:26" x14ac:dyDescent="0.25">
      <c r="B19" s="353" t="s">
        <v>230</v>
      </c>
      <c r="C19" s="353">
        <v>2014</v>
      </c>
      <c r="D19" s="477"/>
      <c r="E19" s="334"/>
      <c r="F19" s="372"/>
      <c r="G19" s="334"/>
      <c r="H19" s="327"/>
      <c r="I19" s="327"/>
      <c r="J19" s="327"/>
      <c r="K19" s="327"/>
      <c r="M19" s="372"/>
      <c r="N19" s="372"/>
      <c r="O19" s="372"/>
      <c r="P19" s="336"/>
      <c r="Q19" s="334"/>
      <c r="W19" s="324"/>
      <c r="X19" s="324"/>
      <c r="Y19" s="324"/>
      <c r="Z19" s="324"/>
    </row>
    <row r="20" spans="1:26" ht="15" customHeight="1" x14ac:dyDescent="0.25">
      <c r="B20" s="337" t="s">
        <v>238</v>
      </c>
      <c r="C20" s="338">
        <v>0.56999999999999995</v>
      </c>
      <c r="D20" s="474"/>
      <c r="E20" s="336"/>
      <c r="F20" s="475"/>
      <c r="G20" s="336"/>
      <c r="H20" s="333"/>
      <c r="I20" s="333"/>
      <c r="J20" s="368"/>
      <c r="K20" s="369"/>
      <c r="M20" s="262"/>
      <c r="N20" s="373"/>
      <c r="O20" s="373"/>
      <c r="P20" s="336"/>
      <c r="Q20" s="334"/>
      <c r="W20" s="324"/>
      <c r="X20" s="324"/>
      <c r="Y20" s="324"/>
      <c r="Z20" s="324"/>
    </row>
    <row r="21" spans="1:26" ht="30" customHeight="1" x14ac:dyDescent="0.25">
      <c r="B21" s="339" t="s">
        <v>239</v>
      </c>
      <c r="C21" s="338">
        <v>0.19700000000000001</v>
      </c>
      <c r="D21" s="474"/>
      <c r="E21" s="336"/>
      <c r="F21" s="475"/>
      <c r="G21" s="336"/>
      <c r="H21" s="333"/>
      <c r="I21" s="333"/>
      <c r="J21" s="368"/>
      <c r="K21" s="369"/>
      <c r="M21" s="374"/>
      <c r="N21" s="373"/>
      <c r="O21" s="373"/>
      <c r="P21" s="336"/>
      <c r="Q21" s="334"/>
      <c r="W21" s="324"/>
      <c r="X21" s="324"/>
      <c r="Y21" s="324"/>
      <c r="Z21" s="324"/>
    </row>
    <row r="22" spans="1:26" ht="15" customHeight="1" x14ac:dyDescent="0.25">
      <c r="B22" s="339" t="s">
        <v>240</v>
      </c>
      <c r="C22" s="338">
        <v>0.18</v>
      </c>
      <c r="D22" s="474"/>
      <c r="E22" s="336"/>
      <c r="F22" s="475"/>
      <c r="G22" s="336"/>
      <c r="H22" s="333"/>
      <c r="I22" s="333"/>
      <c r="J22" s="368"/>
      <c r="K22" s="369"/>
      <c r="M22" s="262"/>
      <c r="N22" s="373"/>
      <c r="O22" s="373"/>
      <c r="P22" s="336"/>
      <c r="Q22" s="334"/>
      <c r="W22" s="324"/>
      <c r="X22" s="324"/>
      <c r="Y22" s="324"/>
      <c r="Z22" s="324"/>
    </row>
    <row r="23" spans="1:26" ht="15" customHeight="1" x14ac:dyDescent="0.25">
      <c r="B23" s="335" t="s">
        <v>241</v>
      </c>
      <c r="C23" s="338">
        <v>7.6999999999999999E-2</v>
      </c>
      <c r="D23" s="474"/>
      <c r="E23" s="336"/>
      <c r="F23" s="475"/>
      <c r="G23" s="336"/>
      <c r="H23" s="333"/>
      <c r="I23" s="333"/>
      <c r="J23" s="368"/>
      <c r="K23" s="369"/>
      <c r="M23" s="262"/>
      <c r="N23" s="373"/>
      <c r="O23" s="373"/>
      <c r="P23" s="336"/>
      <c r="Q23" s="334"/>
      <c r="W23" s="324"/>
      <c r="X23" s="324"/>
      <c r="Y23" s="324"/>
      <c r="Z23" s="324"/>
    </row>
    <row r="24" spans="1:26" ht="15" customHeight="1" x14ac:dyDescent="0.25">
      <c r="B24" s="335" t="s">
        <v>242</v>
      </c>
      <c r="C24" s="338">
        <v>0.02</v>
      </c>
      <c r="D24" s="474"/>
      <c r="E24" s="336"/>
      <c r="F24" s="475"/>
      <c r="G24" s="336"/>
      <c r="H24" s="333"/>
      <c r="I24" s="333"/>
      <c r="J24" s="368"/>
      <c r="K24" s="369"/>
      <c r="M24" s="262"/>
      <c r="N24" s="373"/>
      <c r="O24" s="373"/>
      <c r="P24" s="336"/>
      <c r="Q24" s="334"/>
      <c r="W24" s="324"/>
      <c r="X24" s="324"/>
      <c r="Y24" s="324"/>
      <c r="Z24" s="324"/>
    </row>
    <row r="25" spans="1:26" ht="15" customHeight="1" x14ac:dyDescent="0.25">
      <c r="B25" s="337" t="s">
        <v>243</v>
      </c>
      <c r="C25" s="338">
        <v>4.2999999999999997E-2</v>
      </c>
      <c r="D25" s="474"/>
      <c r="E25" s="336"/>
      <c r="F25" s="475"/>
      <c r="G25" s="336"/>
      <c r="H25" s="333"/>
      <c r="I25" s="333"/>
      <c r="J25" s="368"/>
      <c r="K25" s="369"/>
      <c r="M25" s="262"/>
      <c r="N25" s="373"/>
      <c r="O25" s="373"/>
      <c r="P25" s="336"/>
      <c r="Q25" s="334"/>
      <c r="W25" s="324"/>
      <c r="X25" s="324"/>
      <c r="Y25" s="324"/>
      <c r="Z25" s="324"/>
    </row>
    <row r="26" spans="1:26" ht="15" customHeight="1" x14ac:dyDescent="0.25">
      <c r="B26" s="340" t="s">
        <v>244</v>
      </c>
      <c r="C26" s="338">
        <v>1.6E-2</v>
      </c>
      <c r="D26" s="474"/>
      <c r="E26" s="336"/>
      <c r="F26" s="475"/>
      <c r="G26" s="336"/>
      <c r="H26" s="333"/>
      <c r="I26" s="333"/>
      <c r="J26" s="368"/>
      <c r="K26" s="369"/>
      <c r="M26" s="262"/>
      <c r="N26" s="373"/>
      <c r="O26" s="373"/>
      <c r="P26" s="336"/>
      <c r="Q26" s="334"/>
      <c r="W26" s="324"/>
      <c r="X26" s="324"/>
      <c r="Y26" s="324"/>
      <c r="Z26" s="324"/>
    </row>
    <row r="27" spans="1:26" ht="15" customHeight="1" x14ac:dyDescent="0.25">
      <c r="B27" s="329" t="s">
        <v>234</v>
      </c>
      <c r="C27" s="379">
        <f>SUM(C20:C26)</f>
        <v>1.1029999999999998</v>
      </c>
      <c r="D27" s="476"/>
      <c r="E27" s="336"/>
      <c r="F27" s="475"/>
      <c r="G27" s="336"/>
      <c r="H27" s="370"/>
      <c r="I27" s="370"/>
      <c r="J27" s="370"/>
      <c r="K27" s="371"/>
      <c r="M27" s="348"/>
      <c r="N27" s="373"/>
      <c r="O27" s="375"/>
      <c r="P27" s="336"/>
      <c r="Q27" s="334"/>
      <c r="W27" s="324"/>
      <c r="X27" s="324"/>
      <c r="Y27" s="324"/>
      <c r="Z27" s="324"/>
    </row>
    <row r="28" spans="1:26" x14ac:dyDescent="0.25">
      <c r="B28" s="324" t="s">
        <v>296</v>
      </c>
      <c r="W28" s="324"/>
      <c r="X28" s="324"/>
      <c r="Y28" s="324"/>
      <c r="Z28" s="324"/>
    </row>
    <row r="29" spans="1:26" x14ac:dyDescent="0.25">
      <c r="B29" s="376" t="s">
        <v>299</v>
      </c>
      <c r="W29" s="324"/>
      <c r="X29" s="324"/>
      <c r="Y29" s="324"/>
      <c r="Z29" s="324"/>
    </row>
    <row r="30" spans="1:26" x14ac:dyDescent="0.25">
      <c r="D30" s="377"/>
      <c r="E30" s="380"/>
      <c r="F30" s="378"/>
      <c r="G30" s="378"/>
      <c r="H30" s="378"/>
      <c r="I30" s="380"/>
      <c r="L30" s="381"/>
    </row>
    <row r="31" spans="1:26" x14ac:dyDescent="0.25">
      <c r="D31" s="377"/>
      <c r="E31" s="380"/>
      <c r="F31" s="378"/>
      <c r="G31" s="378"/>
      <c r="H31" s="378"/>
      <c r="I31" s="380"/>
      <c r="L31" s="381"/>
    </row>
    <row r="32" spans="1:26" x14ac:dyDescent="0.25">
      <c r="B32" s="1140" t="s">
        <v>767</v>
      </c>
      <c r="C32" s="1137"/>
      <c r="D32" s="1141"/>
      <c r="E32" s="1142"/>
      <c r="F32" s="1143"/>
      <c r="G32" s="1143"/>
      <c r="H32" s="1143"/>
      <c r="I32" s="380"/>
      <c r="L32" s="381"/>
    </row>
    <row r="33" spans="2:9" ht="45" x14ac:dyDescent="0.25">
      <c r="B33" s="1144" t="s">
        <v>768</v>
      </c>
      <c r="C33" s="1145" t="s">
        <v>774</v>
      </c>
      <c r="D33" s="1145" t="s">
        <v>769</v>
      </c>
      <c r="E33" s="1145" t="s">
        <v>770</v>
      </c>
      <c r="F33" s="1145" t="s">
        <v>775</v>
      </c>
      <c r="G33" s="1146" t="s">
        <v>779</v>
      </c>
      <c r="H33" s="1146" t="s">
        <v>780</v>
      </c>
      <c r="I33" s="1146" t="s">
        <v>781</v>
      </c>
    </row>
    <row r="34" spans="2:9" x14ac:dyDescent="0.25">
      <c r="B34" s="324" t="s">
        <v>773</v>
      </c>
      <c r="C34" s="328">
        <v>1</v>
      </c>
      <c r="D34" s="328" t="s">
        <v>312</v>
      </c>
      <c r="E34" s="328">
        <v>2</v>
      </c>
      <c r="F34" s="328"/>
      <c r="G34" s="328">
        <v>0.16</v>
      </c>
      <c r="H34" s="328">
        <v>0.28999999999999998</v>
      </c>
      <c r="I34" s="328"/>
    </row>
    <row r="35" spans="2:9" x14ac:dyDescent="0.25">
      <c r="B35" s="324" t="s">
        <v>773</v>
      </c>
      <c r="C35" s="328">
        <v>1</v>
      </c>
      <c r="D35" s="328" t="s">
        <v>312</v>
      </c>
      <c r="E35" s="1131" t="s">
        <v>776</v>
      </c>
      <c r="F35" s="328"/>
      <c r="G35" s="328">
        <v>0.39</v>
      </c>
      <c r="H35" s="328">
        <v>0.59</v>
      </c>
      <c r="I35" s="328"/>
    </row>
    <row r="36" spans="2:9" x14ac:dyDescent="0.25">
      <c r="B36" s="324" t="s">
        <v>771</v>
      </c>
      <c r="C36" s="328">
        <v>5</v>
      </c>
      <c r="D36" s="328" t="s">
        <v>309</v>
      </c>
      <c r="E36" s="328"/>
      <c r="F36" s="1133">
        <v>19500</v>
      </c>
      <c r="G36" s="328">
        <v>0.84</v>
      </c>
      <c r="H36" s="328">
        <v>1.1000000000000001</v>
      </c>
      <c r="I36" s="328"/>
    </row>
    <row r="37" spans="2:9" x14ac:dyDescent="0.25">
      <c r="B37" s="1137" t="s">
        <v>772</v>
      </c>
      <c r="C37" s="1138">
        <v>8</v>
      </c>
      <c r="D37" s="1138" t="s">
        <v>309</v>
      </c>
      <c r="E37" s="1138"/>
      <c r="F37" s="1139">
        <v>80000</v>
      </c>
      <c r="G37" s="1138">
        <v>0.64</v>
      </c>
      <c r="H37" s="1138">
        <v>1.1499999999999999</v>
      </c>
      <c r="I37" s="1138"/>
    </row>
    <row r="38" spans="2:9" x14ac:dyDescent="0.25">
      <c r="B38" s="336" t="s">
        <v>777</v>
      </c>
      <c r="C38" s="336"/>
      <c r="D38" s="336"/>
      <c r="E38" s="336"/>
      <c r="F38" s="336"/>
      <c r="G38" s="1134">
        <f>AVERAGE(G34:G35)</f>
        <v>0.27500000000000002</v>
      </c>
      <c r="H38" s="1134">
        <f>AVERAGE(H34:H35)</f>
        <v>0.43999999999999995</v>
      </c>
      <c r="I38" s="1134">
        <f>AVERAGE(G38:H38)</f>
        <v>0.35749999999999998</v>
      </c>
    </row>
    <row r="39" spans="2:9" ht="15.75" thickBot="1" x14ac:dyDescent="0.3">
      <c r="B39" s="1135" t="s">
        <v>778</v>
      </c>
      <c r="C39" s="1135"/>
      <c r="D39" s="1135"/>
      <c r="E39" s="1135"/>
      <c r="F39" s="1135"/>
      <c r="G39" s="1136">
        <f>AVERAGE(G36:G37)</f>
        <v>0.74</v>
      </c>
      <c r="H39" s="1136">
        <f>AVERAGE(H36:H37)</f>
        <v>1.125</v>
      </c>
      <c r="I39" s="1136">
        <f>AVERAGE(G39:H39)</f>
        <v>0.9325</v>
      </c>
    </row>
    <row r="40" spans="2:9" ht="15.75" thickTop="1" x14ac:dyDescent="0.25">
      <c r="B40" s="324" t="s">
        <v>815</v>
      </c>
    </row>
    <row r="42" spans="2:9" x14ac:dyDescent="0.25">
      <c r="B42" s="325" t="s">
        <v>787</v>
      </c>
    </row>
    <row r="43" spans="2:9" x14ac:dyDescent="0.25">
      <c r="B43" s="1144" t="s">
        <v>7</v>
      </c>
      <c r="C43" s="1144" t="s">
        <v>784</v>
      </c>
      <c r="D43" s="1144" t="s">
        <v>785</v>
      </c>
    </row>
    <row r="44" spans="2:9" x14ac:dyDescent="0.25">
      <c r="B44" s="1123">
        <v>2014</v>
      </c>
      <c r="C44" s="1148">
        <v>3.4186529999999999</v>
      </c>
      <c r="D44" s="1148">
        <v>3.8212090000000001</v>
      </c>
    </row>
    <row r="45" spans="2:9" x14ac:dyDescent="0.25">
      <c r="B45" s="1123">
        <v>2015</v>
      </c>
      <c r="C45" s="1148">
        <v>2.517242</v>
      </c>
      <c r="D45" s="1148">
        <v>2.7194790000000002</v>
      </c>
    </row>
    <row r="46" spans="2:9" x14ac:dyDescent="0.25">
      <c r="B46" s="1123">
        <v>2016</v>
      </c>
      <c r="C46" s="1148">
        <v>2.0240770000000001</v>
      </c>
      <c r="D46" s="1148">
        <v>2.1858819999999999</v>
      </c>
    </row>
    <row r="47" spans="2:9" x14ac:dyDescent="0.25">
      <c r="B47" s="1123">
        <v>2017</v>
      </c>
      <c r="C47" s="1148">
        <v>2.2040130000000002</v>
      </c>
      <c r="D47" s="1148">
        <v>2.4908709999999998</v>
      </c>
    </row>
    <row r="48" spans="2:9" x14ac:dyDescent="0.25">
      <c r="B48" s="1123">
        <v>2018</v>
      </c>
      <c r="C48" s="1148">
        <v>2.3650820000000001</v>
      </c>
      <c r="D48" s="1148">
        <v>2.7206480000000002</v>
      </c>
    </row>
    <row r="49" spans="2:4" x14ac:dyDescent="0.25">
      <c r="B49" s="1123">
        <v>2019</v>
      </c>
      <c r="C49" s="1148">
        <v>2.6038320000000001</v>
      </c>
      <c r="D49" s="1148">
        <v>3.044448</v>
      </c>
    </row>
    <row r="50" spans="2:4" x14ac:dyDescent="0.25">
      <c r="B50" s="1123">
        <v>2020</v>
      </c>
      <c r="C50" s="1148">
        <v>2.735668</v>
      </c>
      <c r="D50" s="1148">
        <v>3.1781419999999998</v>
      </c>
    </row>
    <row r="51" spans="2:4" x14ac:dyDescent="0.25">
      <c r="B51" s="1123">
        <v>2021</v>
      </c>
      <c r="C51" s="1148">
        <v>2.820503</v>
      </c>
      <c r="D51" s="1148">
        <v>3.286934</v>
      </c>
    </row>
    <row r="52" spans="2:4" x14ac:dyDescent="0.25">
      <c r="B52" s="1123">
        <v>2022</v>
      </c>
      <c r="C52" s="1148">
        <v>2.863226</v>
      </c>
      <c r="D52" s="1148">
        <v>3.3715549999999999</v>
      </c>
    </row>
    <row r="53" spans="2:4" x14ac:dyDescent="0.25">
      <c r="B53" s="1123">
        <v>2023</v>
      </c>
      <c r="C53" s="1148">
        <v>2.909087</v>
      </c>
      <c r="D53" s="1148">
        <v>3.4276749999999998</v>
      </c>
    </row>
    <row r="54" spans="2:4" x14ac:dyDescent="0.25">
      <c r="B54" s="1123">
        <v>2024</v>
      </c>
      <c r="C54" s="1148">
        <v>2.9355389999999999</v>
      </c>
      <c r="D54" s="1148">
        <v>3.4803820000000001</v>
      </c>
    </row>
    <row r="55" spans="2:4" x14ac:dyDescent="0.25">
      <c r="B55" s="1123">
        <v>2025</v>
      </c>
      <c r="C55" s="1148">
        <v>2.9715509999999998</v>
      </c>
      <c r="D55" s="1148">
        <v>3.5455559999999999</v>
      </c>
    </row>
    <row r="56" spans="2:4" x14ac:dyDescent="0.25">
      <c r="B56" s="1123">
        <v>2026</v>
      </c>
      <c r="C56" s="1148">
        <v>3.032969</v>
      </c>
      <c r="D56" s="1148">
        <v>3.6216430000000002</v>
      </c>
    </row>
    <row r="57" spans="2:4" x14ac:dyDescent="0.25">
      <c r="B57" s="1123">
        <v>2027</v>
      </c>
      <c r="C57" s="1148">
        <v>3.0810010000000001</v>
      </c>
      <c r="D57" s="1148">
        <v>3.685114</v>
      </c>
    </row>
    <row r="58" spans="2:4" x14ac:dyDescent="0.25">
      <c r="B58" s="1123">
        <v>2028</v>
      </c>
      <c r="C58" s="1148">
        <v>3.1138080000000001</v>
      </c>
      <c r="D58" s="1148">
        <v>3.7344439999999999</v>
      </c>
    </row>
    <row r="59" spans="2:4" x14ac:dyDescent="0.25">
      <c r="B59" s="1123">
        <v>2029</v>
      </c>
      <c r="C59" s="1148">
        <v>3.160568</v>
      </c>
      <c r="D59" s="1148">
        <v>3.803553</v>
      </c>
    </row>
    <row r="60" spans="2:4" x14ac:dyDescent="0.25">
      <c r="B60" s="1123">
        <v>2030</v>
      </c>
      <c r="C60" s="1148">
        <v>3.191894</v>
      </c>
      <c r="D60" s="1148">
        <v>3.8505240000000001</v>
      </c>
    </row>
    <row r="61" spans="2:4" x14ac:dyDescent="0.25">
      <c r="B61" s="1123">
        <v>2031</v>
      </c>
      <c r="C61" s="1148">
        <v>3.249609</v>
      </c>
      <c r="D61" s="1148">
        <v>3.92977</v>
      </c>
    </row>
    <row r="62" spans="2:4" x14ac:dyDescent="0.25">
      <c r="B62" s="1123">
        <v>2032</v>
      </c>
      <c r="C62" s="1148">
        <v>3.3156810000000001</v>
      </c>
      <c r="D62" s="1148">
        <v>4.0158430000000003</v>
      </c>
    </row>
    <row r="63" spans="2:4" x14ac:dyDescent="0.25">
      <c r="B63" s="1123">
        <v>2033</v>
      </c>
      <c r="C63" s="1148">
        <v>3.3831579999999999</v>
      </c>
      <c r="D63" s="1148">
        <v>4.1013320000000002</v>
      </c>
    </row>
    <row r="64" spans="2:4" x14ac:dyDescent="0.25">
      <c r="B64" s="1123">
        <v>2034</v>
      </c>
      <c r="C64" s="1148">
        <v>3.4465669999999999</v>
      </c>
      <c r="D64" s="1148">
        <v>4.1878479999999998</v>
      </c>
    </row>
    <row r="65" spans="2:4" x14ac:dyDescent="0.25">
      <c r="B65" s="1123">
        <v>2035</v>
      </c>
      <c r="C65" s="1148">
        <v>3.4731610000000002</v>
      </c>
      <c r="D65" s="1148">
        <v>4.2548950000000003</v>
      </c>
    </row>
    <row r="66" spans="2:4" x14ac:dyDescent="0.25">
      <c r="B66" s="1123">
        <v>2036</v>
      </c>
      <c r="C66" s="1148">
        <v>3.5417619999999999</v>
      </c>
      <c r="D66" s="1148">
        <v>4.34687</v>
      </c>
    </row>
    <row r="67" spans="2:4" x14ac:dyDescent="0.25">
      <c r="B67" s="1123">
        <v>2037</v>
      </c>
      <c r="C67" s="1148">
        <v>3.5800169999999998</v>
      </c>
      <c r="D67" s="1148">
        <v>4.3993419999999999</v>
      </c>
    </row>
    <row r="68" spans="2:4" x14ac:dyDescent="0.25">
      <c r="B68" s="1123">
        <v>2038</v>
      </c>
      <c r="C68" s="1148">
        <v>3.6571729999999998</v>
      </c>
      <c r="D68" s="1148">
        <v>4.4933430000000003</v>
      </c>
    </row>
    <row r="69" spans="2:4" x14ac:dyDescent="0.25">
      <c r="B69" s="1123">
        <v>2039</v>
      </c>
      <c r="C69" s="1148">
        <v>3.721203</v>
      </c>
      <c r="D69" s="1148">
        <v>4.5723719999999997</v>
      </c>
    </row>
    <row r="70" spans="2:4" ht="15.75" thickBot="1" x14ac:dyDescent="0.3">
      <c r="B70" s="1147">
        <v>2040</v>
      </c>
      <c r="C70" s="1149">
        <v>3.8052060000000001</v>
      </c>
      <c r="D70" s="1149">
        <v>4.6803819999999998</v>
      </c>
    </row>
    <row r="71" spans="2:4" ht="15.75" thickTop="1" x14ac:dyDescent="0.25">
      <c r="B71" s="324" t="s">
        <v>786</v>
      </c>
    </row>
  </sheetData>
  <mergeCells count="3">
    <mergeCell ref="C3:E3"/>
    <mergeCell ref="B13:K13"/>
    <mergeCell ref="B3:B4"/>
  </mergeCells>
  <hyperlinks>
    <hyperlink ref="B15" r:id="rId1"/>
    <hyperlink ref="B29" r:id="rId2"/>
  </hyperlinks>
  <pageMargins left="0.7" right="0.2" top="0.75" bottom="0.75" header="0.3" footer="0.3"/>
  <pageSetup paperSize="3" orientation="portrait" r:id="rId3"/>
  <ignoredErrors>
    <ignoredError sqref="E35" numberStoredAsText="1"/>
    <ignoredError sqref="G38:H39"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G20"/>
  <sheetViews>
    <sheetView workbookViewId="0">
      <selection activeCell="C22" sqref="C22"/>
    </sheetView>
  </sheetViews>
  <sheetFormatPr defaultRowHeight="15" x14ac:dyDescent="0.25"/>
  <cols>
    <col min="1" max="1" width="9.140625" style="928"/>
    <col min="2" max="2" width="31" style="928" customWidth="1"/>
    <col min="3" max="3" width="59.42578125" style="928" customWidth="1"/>
    <col min="4" max="4" width="12.7109375" style="928" customWidth="1"/>
    <col min="5" max="16384" width="9.140625" style="928"/>
  </cols>
  <sheetData>
    <row r="2" spans="2:7" x14ac:dyDescent="0.25">
      <c r="B2" s="1268" t="s">
        <v>620</v>
      </c>
      <c r="C2" s="1268"/>
      <c r="G2" s="928" t="s">
        <v>475</v>
      </c>
    </row>
    <row r="3" spans="2:7" x14ac:dyDescent="0.25">
      <c r="B3" s="955" t="s">
        <v>621</v>
      </c>
    </row>
    <row r="4" spans="2:7" x14ac:dyDescent="0.25">
      <c r="B4" s="963" t="s">
        <v>622</v>
      </c>
      <c r="C4" s="928" t="s">
        <v>623</v>
      </c>
    </row>
    <row r="5" spans="2:7" x14ac:dyDescent="0.25">
      <c r="B5" s="955" t="s">
        <v>624</v>
      </c>
    </row>
    <row r="6" spans="2:7" x14ac:dyDescent="0.25">
      <c r="B6" s="963" t="s">
        <v>625</v>
      </c>
      <c r="C6" s="928" t="s">
        <v>626</v>
      </c>
    </row>
    <row r="7" spans="2:7" x14ac:dyDescent="0.25">
      <c r="B7" s="963" t="s">
        <v>627</v>
      </c>
      <c r="C7" s="928" t="s">
        <v>628</v>
      </c>
    </row>
    <row r="8" spans="2:7" x14ac:dyDescent="0.25">
      <c r="B8" s="963" t="s">
        <v>629</v>
      </c>
      <c r="C8" s="928" t="s">
        <v>630</v>
      </c>
    </row>
    <row r="9" spans="2:7" x14ac:dyDescent="0.25">
      <c r="B9" s="964" t="s">
        <v>631</v>
      </c>
      <c r="C9" s="946" t="s">
        <v>632</v>
      </c>
    </row>
    <row r="10" spans="2:7" x14ac:dyDescent="0.25">
      <c r="B10" s="965" t="s">
        <v>633</v>
      </c>
    </row>
    <row r="11" spans="2:7" x14ac:dyDescent="0.25">
      <c r="B11" s="728" t="s">
        <v>634</v>
      </c>
    </row>
    <row r="13" spans="2:7" x14ac:dyDescent="0.25">
      <c r="B13" s="1268" t="s">
        <v>758</v>
      </c>
      <c r="C13" s="1268"/>
      <c r="D13" s="966"/>
    </row>
    <row r="14" spans="2:7" ht="30" x14ac:dyDescent="0.25">
      <c r="B14" s="967"/>
      <c r="C14" s="968" t="s">
        <v>635</v>
      </c>
      <c r="D14" s="968" t="s">
        <v>636</v>
      </c>
      <c r="E14" s="969" t="s">
        <v>637</v>
      </c>
    </row>
    <row r="15" spans="2:7" x14ac:dyDescent="0.25">
      <c r="B15" s="1153" t="s">
        <v>757</v>
      </c>
      <c r="C15" s="1154">
        <v>7.0000000000000007E-2</v>
      </c>
      <c r="D15" s="1154">
        <v>7.0000000000000001E-3</v>
      </c>
      <c r="E15" s="1154">
        <v>0.67</v>
      </c>
    </row>
    <row r="16" spans="2:7" s="943" customFormat="1" x14ac:dyDescent="0.25">
      <c r="B16" s="303" t="s">
        <v>759</v>
      </c>
      <c r="C16" s="1102"/>
      <c r="D16" s="1103"/>
      <c r="E16" s="1103"/>
    </row>
    <row r="17" spans="3:4" x14ac:dyDescent="0.25">
      <c r="C17" s="303"/>
      <c r="D17" s="303"/>
    </row>
    <row r="19" spans="3:4" x14ac:dyDescent="0.25">
      <c r="D19" s="1122"/>
    </row>
    <row r="20" spans="3:4" x14ac:dyDescent="0.25">
      <c r="D20" s="1122"/>
    </row>
  </sheetData>
  <mergeCells count="2">
    <mergeCell ref="B2:C2"/>
    <mergeCell ref="B13:C1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B1:L37"/>
  <sheetViews>
    <sheetView zoomScale="87" zoomScaleNormal="87" workbookViewId="0">
      <selection activeCell="B10" sqref="B10:I10"/>
    </sheetView>
  </sheetViews>
  <sheetFormatPr defaultRowHeight="15" x14ac:dyDescent="0.25"/>
  <cols>
    <col min="1" max="1" width="3.5703125" style="324" customWidth="1"/>
    <col min="2" max="2" width="14" style="324" customWidth="1"/>
    <col min="3" max="3" width="12.140625" style="324" customWidth="1"/>
    <col min="4" max="4" width="14.5703125" style="324" customWidth="1"/>
    <col min="5" max="5" width="12.7109375" style="324" customWidth="1"/>
    <col min="6" max="6" width="9.140625" style="324"/>
    <col min="7" max="7" width="10.85546875" style="324" customWidth="1"/>
    <col min="8" max="8" width="12.140625" style="324" customWidth="1"/>
    <col min="9" max="9" width="15.7109375" style="324" customWidth="1"/>
    <col min="10" max="10" width="12.42578125" style="324" customWidth="1"/>
    <col min="11" max="11" width="9.140625" style="324"/>
    <col min="12" max="12" width="33" style="324" customWidth="1"/>
    <col min="13" max="16384" width="9.140625" style="324"/>
  </cols>
  <sheetData>
    <row r="1" spans="2:12" x14ac:dyDescent="0.25">
      <c r="B1" s="325" t="s">
        <v>792</v>
      </c>
    </row>
    <row r="2" spans="2:12" ht="15.75" thickBot="1" x14ac:dyDescent="0.3">
      <c r="B2" s="399" t="s">
        <v>138</v>
      </c>
      <c r="C2" s="400" t="s">
        <v>117</v>
      </c>
      <c r="D2" s="401" t="s">
        <v>118</v>
      </c>
      <c r="E2" s="401" t="s">
        <v>119</v>
      </c>
      <c r="F2" s="401" t="s">
        <v>120</v>
      </c>
      <c r="G2" s="401" t="s">
        <v>121</v>
      </c>
      <c r="H2" s="401" t="s">
        <v>122</v>
      </c>
      <c r="I2" s="402" t="s">
        <v>123</v>
      </c>
      <c r="L2" s="324" t="s">
        <v>127</v>
      </c>
    </row>
    <row r="3" spans="2:12" ht="15.75" thickTop="1" x14ac:dyDescent="0.25">
      <c r="B3" s="403" t="s">
        <v>78</v>
      </c>
      <c r="C3" s="404">
        <v>2.6829999999999998</v>
      </c>
      <c r="D3" s="405">
        <v>4.0430000000000001</v>
      </c>
      <c r="E3" s="406">
        <v>6.4950000000000001</v>
      </c>
      <c r="F3" s="405">
        <v>1.373</v>
      </c>
      <c r="G3" s="405">
        <v>2.72</v>
      </c>
      <c r="H3" s="406">
        <v>3.4550000000000001</v>
      </c>
      <c r="I3" s="407">
        <v>19.152999999999999</v>
      </c>
      <c r="L3" s="324" t="s">
        <v>128</v>
      </c>
    </row>
    <row r="4" spans="2:12" x14ac:dyDescent="0.25">
      <c r="B4" s="408" t="s">
        <v>124</v>
      </c>
      <c r="C4" s="409">
        <v>3.1629999999999998</v>
      </c>
      <c r="D4" s="410">
        <v>4.8380000000000001</v>
      </c>
      <c r="E4" s="411">
        <v>7.26</v>
      </c>
      <c r="F4" s="410">
        <v>1.353</v>
      </c>
      <c r="G4" s="410">
        <v>2.68</v>
      </c>
      <c r="H4" s="411">
        <v>3.5030000000000001</v>
      </c>
      <c r="I4" s="412">
        <v>21.114999999999998</v>
      </c>
      <c r="L4" s="324" t="s">
        <v>129</v>
      </c>
    </row>
    <row r="5" spans="2:12" x14ac:dyDescent="0.25">
      <c r="B5" s="408" t="s">
        <v>37</v>
      </c>
      <c r="C5" s="409">
        <v>71.224999999999994</v>
      </c>
      <c r="D5" s="410">
        <v>72.724999999999994</v>
      </c>
      <c r="E5" s="411">
        <v>151.9</v>
      </c>
      <c r="F5" s="410">
        <v>7.0179999999999998</v>
      </c>
      <c r="G5" s="410">
        <v>5.8529999999999998</v>
      </c>
      <c r="H5" s="411">
        <v>25.628</v>
      </c>
      <c r="I5" s="412">
        <v>301.07499999999999</v>
      </c>
      <c r="L5" s="324" t="s">
        <v>130</v>
      </c>
    </row>
    <row r="6" spans="2:12" ht="18" x14ac:dyDescent="0.25">
      <c r="B6" s="408" t="s">
        <v>136</v>
      </c>
      <c r="C6" s="409">
        <v>3.5150000000000001</v>
      </c>
      <c r="D6" s="410">
        <v>4.0650000000000004</v>
      </c>
      <c r="E6" s="411">
        <v>5.33</v>
      </c>
      <c r="F6" s="410">
        <v>2.69</v>
      </c>
      <c r="G6" s="410">
        <v>3.7050000000000001</v>
      </c>
      <c r="H6" s="411">
        <v>33.762999999999998</v>
      </c>
      <c r="I6" s="412">
        <v>1.625</v>
      </c>
      <c r="L6" s="324" t="s">
        <v>133</v>
      </c>
    </row>
    <row r="7" spans="2:12" x14ac:dyDescent="0.25">
      <c r="B7" s="408" t="s">
        <v>125</v>
      </c>
      <c r="C7" s="413" t="s">
        <v>114</v>
      </c>
      <c r="D7" s="414" t="s">
        <v>114</v>
      </c>
      <c r="E7" s="415" t="s">
        <v>114</v>
      </c>
      <c r="F7" s="414" t="s">
        <v>114</v>
      </c>
      <c r="G7" s="414" t="s">
        <v>114</v>
      </c>
      <c r="H7" s="411">
        <v>1.1000000000000001</v>
      </c>
      <c r="I7" s="416" t="s">
        <v>114</v>
      </c>
      <c r="L7" s="324" t="s">
        <v>131</v>
      </c>
    </row>
    <row r="8" spans="2:12" ht="18.75" thickBot="1" x14ac:dyDescent="0.3">
      <c r="B8" s="417" t="s">
        <v>126</v>
      </c>
      <c r="C8" s="418" t="s">
        <v>114</v>
      </c>
      <c r="D8" s="419" t="s">
        <v>114</v>
      </c>
      <c r="E8" s="420" t="s">
        <v>114</v>
      </c>
      <c r="F8" s="419" t="s">
        <v>114</v>
      </c>
      <c r="G8" s="419" t="s">
        <v>114</v>
      </c>
      <c r="H8" s="421">
        <v>1.196</v>
      </c>
      <c r="I8" s="422" t="s">
        <v>114</v>
      </c>
      <c r="L8" s="324" t="s">
        <v>132</v>
      </c>
    </row>
    <row r="10" spans="2:12" ht="31.5" customHeight="1" x14ac:dyDescent="0.25">
      <c r="B10" s="1270" t="s">
        <v>137</v>
      </c>
      <c r="C10" s="1270"/>
      <c r="D10" s="1270"/>
      <c r="E10" s="1270"/>
      <c r="F10" s="1270"/>
      <c r="G10" s="1270"/>
      <c r="H10" s="1270"/>
      <c r="I10" s="1270"/>
    </row>
    <row r="11" spans="2:12" ht="20.25" customHeight="1" x14ac:dyDescent="0.25">
      <c r="B11" s="1270" t="s">
        <v>140</v>
      </c>
      <c r="C11" s="1270"/>
      <c r="D11" s="1270"/>
      <c r="E11" s="1270"/>
      <c r="F11" s="1270"/>
      <c r="G11" s="1270"/>
      <c r="H11" s="1270"/>
      <c r="I11" s="1270"/>
    </row>
    <row r="12" spans="2:12" ht="16.5" customHeight="1" x14ac:dyDescent="0.25">
      <c r="E12" s="423"/>
      <c r="F12" s="423"/>
      <c r="G12" s="423"/>
      <c r="H12" s="423"/>
      <c r="I12" s="423"/>
    </row>
    <row r="13" spans="2:12" ht="16.5" customHeight="1" x14ac:dyDescent="0.25">
      <c r="B13" s="1150" t="s">
        <v>793</v>
      </c>
      <c r="C13" s="1150"/>
      <c r="D13" s="1150"/>
      <c r="E13" s="1151">
        <v>2421</v>
      </c>
      <c r="F13" s="1150" t="s">
        <v>795</v>
      </c>
      <c r="G13" s="1081"/>
      <c r="H13" s="1081"/>
      <c r="I13" s="1081"/>
    </row>
    <row r="14" spans="2:12" ht="16.5" customHeight="1" x14ac:dyDescent="0.25">
      <c r="B14" s="1137" t="s">
        <v>794</v>
      </c>
      <c r="C14" s="1137"/>
      <c r="D14" s="1137"/>
      <c r="E14" s="1152">
        <v>2778</v>
      </c>
      <c r="F14" s="1137" t="s">
        <v>795</v>
      </c>
      <c r="G14" s="1081"/>
      <c r="H14" s="1081"/>
      <c r="I14" s="1081"/>
    </row>
    <row r="15" spans="2:12" ht="16.5" customHeight="1" x14ac:dyDescent="0.25">
      <c r="B15" s="324" t="s">
        <v>796</v>
      </c>
      <c r="C15" s="1132"/>
      <c r="E15" s="1081"/>
      <c r="F15" s="1081"/>
      <c r="G15" s="1081"/>
      <c r="H15" s="1081"/>
      <c r="I15" s="1081"/>
    </row>
    <row r="16" spans="2:12" ht="16.5" customHeight="1" x14ac:dyDescent="0.25">
      <c r="B16" s="1081"/>
      <c r="C16" s="1081"/>
      <c r="D16" s="1081"/>
      <c r="E16" s="1081"/>
      <c r="F16" s="1081"/>
      <c r="G16" s="1081"/>
      <c r="H16" s="1081"/>
      <c r="I16" s="1081"/>
    </row>
    <row r="17" spans="2:10" x14ac:dyDescent="0.25">
      <c r="B17" s="325" t="s">
        <v>157</v>
      </c>
    </row>
    <row r="18" spans="2:10" ht="30.75" thickBot="1" x14ac:dyDescent="0.3">
      <c r="B18" s="424" t="s">
        <v>138</v>
      </c>
      <c r="C18" s="287" t="s">
        <v>134</v>
      </c>
      <c r="D18" s="287" t="s">
        <v>135</v>
      </c>
    </row>
    <row r="19" spans="2:10" ht="15.75" thickTop="1" x14ac:dyDescent="0.25">
      <c r="B19" s="425" t="s">
        <v>78</v>
      </c>
      <c r="C19" s="426">
        <f>AVERAGE(C3:D3,F3:G3)</f>
        <v>2.7047500000000002</v>
      </c>
      <c r="D19" s="426">
        <f t="shared" ref="D19:D24" si="0">AVERAGE(E3,H3)</f>
        <v>4.9749999999999996</v>
      </c>
    </row>
    <row r="20" spans="2:10" x14ac:dyDescent="0.25">
      <c r="B20" s="427" t="s">
        <v>124</v>
      </c>
      <c r="C20" s="428">
        <f>AVERAGE(C4:D4,F4:G4)</f>
        <v>3.0084999999999997</v>
      </c>
      <c r="D20" s="428">
        <f t="shared" si="0"/>
        <v>5.3815</v>
      </c>
    </row>
    <row r="21" spans="2:10" x14ac:dyDescent="0.25">
      <c r="B21" s="427" t="s">
        <v>37</v>
      </c>
      <c r="C21" s="428">
        <f>AVERAGE(C5:D5,F5:G5)</f>
        <v>39.205249999999999</v>
      </c>
      <c r="D21" s="428">
        <f t="shared" si="0"/>
        <v>88.76400000000001</v>
      </c>
    </row>
    <row r="22" spans="2:10" ht="18" x14ac:dyDescent="0.25">
      <c r="B22" s="427" t="s">
        <v>136</v>
      </c>
      <c r="C22" s="428">
        <f>AVERAGE(C6:D6,F6:G6)</f>
        <v>3.4937499999999999</v>
      </c>
      <c r="D22" s="428">
        <f t="shared" si="0"/>
        <v>19.546499999999998</v>
      </c>
    </row>
    <row r="23" spans="2:10" x14ac:dyDescent="0.25">
      <c r="B23" s="427" t="s">
        <v>125</v>
      </c>
      <c r="C23" s="429" t="s">
        <v>114</v>
      </c>
      <c r="D23" s="428">
        <f t="shared" si="0"/>
        <v>1.1000000000000001</v>
      </c>
    </row>
    <row r="24" spans="2:10" ht="18" x14ac:dyDescent="0.25">
      <c r="B24" s="427" t="s">
        <v>126</v>
      </c>
      <c r="C24" s="429" t="s">
        <v>114</v>
      </c>
      <c r="D24" s="428">
        <f t="shared" si="0"/>
        <v>1.196</v>
      </c>
    </row>
    <row r="27" spans="2:10" ht="30" customHeight="1" thickBot="1" x14ac:dyDescent="0.3">
      <c r="B27" s="1271" t="s">
        <v>151</v>
      </c>
      <c r="C27" s="1271"/>
      <c r="D27" s="1271"/>
      <c r="E27" s="1271"/>
      <c r="F27" s="336"/>
      <c r="G27" s="1272" t="s">
        <v>152</v>
      </c>
      <c r="H27" s="1272"/>
      <c r="I27" s="1272"/>
    </row>
    <row r="28" spans="2:10" ht="45.75" thickBot="1" x14ac:dyDescent="0.3">
      <c r="B28" s="430" t="s">
        <v>138</v>
      </c>
      <c r="C28" s="280" t="s">
        <v>147</v>
      </c>
      <c r="D28" s="281" t="s">
        <v>148</v>
      </c>
      <c r="E28" s="282" t="s">
        <v>158</v>
      </c>
      <c r="F28" s="258"/>
      <c r="G28" s="284" t="s">
        <v>138</v>
      </c>
      <c r="H28" s="285" t="s">
        <v>143</v>
      </c>
      <c r="I28" s="286" t="s">
        <v>144</v>
      </c>
      <c r="J28" s="282" t="s">
        <v>158</v>
      </c>
    </row>
    <row r="29" spans="2:10" ht="15.75" thickTop="1" x14ac:dyDescent="0.25">
      <c r="B29" s="276" t="s">
        <v>78</v>
      </c>
      <c r="C29" s="277">
        <v>1.034</v>
      </c>
      <c r="D29" s="278">
        <v>1.224</v>
      </c>
      <c r="E29" s="279">
        <f>AVERAGE(C29:D29)</f>
        <v>1.129</v>
      </c>
      <c r="F29" s="265"/>
      <c r="G29" s="276" t="s">
        <v>78</v>
      </c>
      <c r="H29" s="431">
        <v>1.5860000000000001</v>
      </c>
      <c r="I29" s="432">
        <v>0.44700000000000001</v>
      </c>
      <c r="J29" s="279">
        <f t="shared" ref="J29:J34" si="1">AVERAGE(H29:I29)</f>
        <v>1.0165</v>
      </c>
    </row>
    <row r="30" spans="2:10" x14ac:dyDescent="0.25">
      <c r="B30" s="266" t="s">
        <v>124</v>
      </c>
      <c r="C30" s="272">
        <v>1.077</v>
      </c>
      <c r="D30" s="267">
        <v>1.2889999999999999</v>
      </c>
      <c r="E30" s="264">
        <f t="shared" ref="E30:E35" si="2">AVERAGE(C30:D30)</f>
        <v>1.1829999999999998</v>
      </c>
      <c r="F30" s="268"/>
      <c r="G30" s="266" t="s">
        <v>124</v>
      </c>
      <c r="H30" s="433">
        <v>1.635</v>
      </c>
      <c r="I30" s="434">
        <v>0.45300000000000001</v>
      </c>
      <c r="J30" s="264">
        <f t="shared" si="1"/>
        <v>1.044</v>
      </c>
    </row>
    <row r="31" spans="2:10" x14ac:dyDescent="0.25">
      <c r="B31" s="266" t="s">
        <v>37</v>
      </c>
      <c r="C31" s="272">
        <v>9.4</v>
      </c>
      <c r="D31" s="267">
        <v>11.84</v>
      </c>
      <c r="E31" s="264">
        <f t="shared" si="2"/>
        <v>10.620000000000001</v>
      </c>
      <c r="F31" s="269"/>
      <c r="G31" s="266" t="s">
        <v>37</v>
      </c>
      <c r="H31" s="433">
        <v>13.13</v>
      </c>
      <c r="I31" s="434">
        <v>2.3109999999999999</v>
      </c>
      <c r="J31" s="264">
        <f t="shared" si="1"/>
        <v>7.7205000000000004</v>
      </c>
    </row>
    <row r="32" spans="2:10" x14ac:dyDescent="0.25">
      <c r="B32" s="266" t="s">
        <v>77</v>
      </c>
      <c r="C32" s="272">
        <v>0.69299999999999995</v>
      </c>
      <c r="D32" s="267">
        <v>0.95</v>
      </c>
      <c r="E32" s="264">
        <f t="shared" si="2"/>
        <v>0.8214999999999999</v>
      </c>
      <c r="F32" s="270"/>
      <c r="G32" s="266" t="s">
        <v>77</v>
      </c>
      <c r="H32" s="433">
        <v>2.9140000000000001</v>
      </c>
      <c r="I32" s="434">
        <v>8.6129999999999995</v>
      </c>
      <c r="J32" s="264">
        <f t="shared" si="1"/>
        <v>5.7634999999999996</v>
      </c>
    </row>
    <row r="33" spans="2:10" ht="18" x14ac:dyDescent="0.25">
      <c r="B33" s="266" t="s">
        <v>126</v>
      </c>
      <c r="C33" s="272">
        <v>4.4000000000000003E-3</v>
      </c>
      <c r="D33" s="267">
        <v>4.8999999999999998E-3</v>
      </c>
      <c r="E33" s="264">
        <f t="shared" si="2"/>
        <v>4.6499999999999996E-3</v>
      </c>
      <c r="F33" s="268"/>
      <c r="G33" s="266" t="s">
        <v>126</v>
      </c>
      <c r="H33" s="433">
        <v>4.3999999999999997E-2</v>
      </c>
      <c r="I33" s="434">
        <v>0.20200000000000001</v>
      </c>
      <c r="J33" s="264">
        <f t="shared" si="1"/>
        <v>0.123</v>
      </c>
    </row>
    <row r="34" spans="2:10" ht="18.75" thickBot="1" x14ac:dyDescent="0.3">
      <c r="B34" s="266" t="s">
        <v>145</v>
      </c>
      <c r="C34" s="272">
        <v>4.1000000000000003E-3</v>
      </c>
      <c r="D34" s="267">
        <v>4.4999999999999997E-3</v>
      </c>
      <c r="E34" s="264">
        <f t="shared" si="2"/>
        <v>4.3E-3</v>
      </c>
      <c r="F34" s="269"/>
      <c r="G34" s="271" t="s">
        <v>145</v>
      </c>
      <c r="H34" s="435">
        <v>5.0999999999999997E-2</v>
      </c>
      <c r="I34" s="436">
        <v>0.219</v>
      </c>
      <c r="J34" s="283">
        <f t="shared" si="1"/>
        <v>0.13500000000000001</v>
      </c>
    </row>
    <row r="35" spans="2:10" ht="18.75" thickBot="1" x14ac:dyDescent="0.3">
      <c r="B35" s="263" t="s">
        <v>146</v>
      </c>
      <c r="C35" s="274">
        <v>368.4</v>
      </c>
      <c r="D35" s="275">
        <v>513.5</v>
      </c>
      <c r="E35" s="260">
        <f t="shared" si="2"/>
        <v>440.95</v>
      </c>
      <c r="F35" s="259"/>
      <c r="G35" s="1273"/>
      <c r="H35" s="1273"/>
      <c r="I35" s="1273"/>
    </row>
    <row r="36" spans="2:10" ht="82.5" customHeight="1" x14ac:dyDescent="0.25">
      <c r="B36" s="1270" t="s">
        <v>150</v>
      </c>
      <c r="C36" s="1270"/>
      <c r="D36" s="1270"/>
      <c r="E36" s="1270"/>
      <c r="G36" s="1270" t="s">
        <v>149</v>
      </c>
      <c r="H36" s="1270"/>
      <c r="I36" s="1270"/>
      <c r="J36" s="1270"/>
    </row>
    <row r="37" spans="2:10" x14ac:dyDescent="0.25">
      <c r="B37" s="324" t="s">
        <v>153</v>
      </c>
      <c r="G37" s="1269" t="s">
        <v>154</v>
      </c>
      <c r="H37" s="1269"/>
      <c r="I37" s="1269"/>
      <c r="J37" s="1269"/>
    </row>
  </sheetData>
  <mergeCells count="8">
    <mergeCell ref="G37:J37"/>
    <mergeCell ref="B11:I11"/>
    <mergeCell ref="B10:I10"/>
    <mergeCell ref="B27:E27"/>
    <mergeCell ref="G27:I27"/>
    <mergeCell ref="G35:I35"/>
    <mergeCell ref="B36:E36"/>
    <mergeCell ref="G36:J3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H24"/>
  <sheetViews>
    <sheetView workbookViewId="0">
      <selection activeCell="B19" sqref="B19"/>
    </sheetView>
  </sheetViews>
  <sheetFormatPr defaultRowHeight="15" x14ac:dyDescent="0.25"/>
  <cols>
    <col min="2" max="2" width="21.85546875" customWidth="1"/>
    <col min="3" max="3" width="20.5703125" customWidth="1"/>
    <col min="4" max="4" width="19.5703125" customWidth="1"/>
    <col min="5" max="5" width="9.140625" customWidth="1"/>
    <col min="6" max="6" width="36" bestFit="1" customWidth="1"/>
    <col min="7" max="7" width="11.28515625" customWidth="1"/>
  </cols>
  <sheetData>
    <row r="2" spans="2:8" x14ac:dyDescent="0.25">
      <c r="B2" s="1275" t="s">
        <v>536</v>
      </c>
      <c r="C2" s="1275"/>
      <c r="D2" s="1275"/>
      <c r="E2" s="534"/>
      <c r="F2" s="1275" t="s">
        <v>491</v>
      </c>
      <c r="G2" s="1275"/>
      <c r="H2" s="534"/>
    </row>
    <row r="3" spans="2:8" ht="25.5" x14ac:dyDescent="0.25">
      <c r="B3" s="906" t="s">
        <v>489</v>
      </c>
      <c r="C3" s="906" t="s">
        <v>518</v>
      </c>
      <c r="D3" s="906" t="s">
        <v>519</v>
      </c>
      <c r="E3" s="534"/>
      <c r="F3" s="940" t="s">
        <v>517</v>
      </c>
      <c r="G3" s="940">
        <v>2009</v>
      </c>
      <c r="H3" s="534"/>
    </row>
    <row r="4" spans="2:8" x14ac:dyDescent="0.25">
      <c r="B4" s="931">
        <v>1</v>
      </c>
      <c r="C4" s="932">
        <v>0.76400000000000001</v>
      </c>
      <c r="D4" s="933">
        <f>C4/SUM($C$4:$C$7)</f>
        <v>0.90414201183431941</v>
      </c>
      <c r="E4" s="534" t="s">
        <v>475</v>
      </c>
      <c r="F4" s="905" t="s">
        <v>516</v>
      </c>
      <c r="G4" s="905">
        <v>1.78</v>
      </c>
      <c r="H4" s="534"/>
    </row>
    <row r="5" spans="2:8" x14ac:dyDescent="0.25">
      <c r="B5" s="934">
        <v>2</v>
      </c>
      <c r="C5" s="935">
        <v>6.6000000000000003E-2</v>
      </c>
      <c r="D5" s="936">
        <f>C5/SUM($C$4:$C$7)</f>
        <v>7.8106508875739639E-2</v>
      </c>
      <c r="E5" s="534"/>
      <c r="F5" s="534" t="s">
        <v>487</v>
      </c>
      <c r="G5" s="534">
        <v>1.84</v>
      </c>
      <c r="H5" s="534"/>
    </row>
    <row r="6" spans="2:8" x14ac:dyDescent="0.25">
      <c r="B6" s="934">
        <v>3</v>
      </c>
      <c r="C6" s="935">
        <v>8.9999999999999993E-3</v>
      </c>
      <c r="D6" s="936">
        <f>C6/SUM($C$4:$C$7)</f>
        <v>1.0650887573964495E-2</v>
      </c>
      <c r="E6" s="534"/>
      <c r="F6" s="904" t="s">
        <v>488</v>
      </c>
      <c r="G6" s="904">
        <v>2.2000000000000002</v>
      </c>
      <c r="H6" s="534"/>
    </row>
    <row r="7" spans="2:8" ht="15" customHeight="1" x14ac:dyDescent="0.25">
      <c r="B7" s="937">
        <v>4</v>
      </c>
      <c r="C7" s="938">
        <v>6.0000000000000001E-3</v>
      </c>
      <c r="D7" s="939">
        <f>C7/SUM($C$4:$C$7)</f>
        <v>7.100591715976331E-3</v>
      </c>
      <c r="E7" s="534"/>
      <c r="F7" s="1034" t="s">
        <v>56</v>
      </c>
      <c r="G7" s="1399">
        <f>AVERAGE(G4:G6)</f>
        <v>1.9400000000000002</v>
      </c>
      <c r="H7" s="534"/>
    </row>
    <row r="8" spans="2:8" x14ac:dyDescent="0.25">
      <c r="B8" t="s">
        <v>660</v>
      </c>
      <c r="C8" s="1033">
        <f>SUMPRODUCT(B4:B7,D4:D7)</f>
        <v>1.1207100591715975</v>
      </c>
      <c r="E8" s="534"/>
      <c r="F8" s="1276" t="s">
        <v>515</v>
      </c>
      <c r="G8" s="1276"/>
      <c r="H8" s="534"/>
    </row>
    <row r="9" spans="2:8" ht="44.25" customHeight="1" x14ac:dyDescent="0.25">
      <c r="B9" s="1274" t="s">
        <v>490</v>
      </c>
      <c r="C9" s="1274"/>
      <c r="D9" s="1274"/>
      <c r="F9" s="1276"/>
      <c r="G9" s="1276"/>
    </row>
    <row r="11" spans="2:8" x14ac:dyDescent="0.25">
      <c r="B11" s="955" t="s">
        <v>557</v>
      </c>
      <c r="C11" s="928"/>
      <c r="D11" s="928"/>
      <c r="E11" s="928"/>
    </row>
    <row r="12" spans="2:8" x14ac:dyDescent="0.25">
      <c r="B12" s="944"/>
      <c r="C12" s="945" t="s">
        <v>520</v>
      </c>
      <c r="D12" s="945" t="s">
        <v>521</v>
      </c>
      <c r="E12" s="944" t="s">
        <v>522</v>
      </c>
    </row>
    <row r="13" spans="2:8" x14ac:dyDescent="0.25">
      <c r="B13" s="928" t="s">
        <v>523</v>
      </c>
      <c r="C13" s="928">
        <v>0.59</v>
      </c>
      <c r="D13" s="928">
        <v>6.85</v>
      </c>
      <c r="E13" s="899">
        <f>D13/SUM($D$13:$D$17)</f>
        <v>0.18959313589814555</v>
      </c>
    </row>
    <row r="14" spans="2:8" x14ac:dyDescent="0.25">
      <c r="B14" s="928" t="s">
        <v>524</v>
      </c>
      <c r="C14" s="928">
        <v>1.61</v>
      </c>
      <c r="D14" s="928">
        <v>10.68</v>
      </c>
      <c r="E14" s="899">
        <f>D14/SUM($D$13:$D$17)</f>
        <v>0.29559922502075836</v>
      </c>
    </row>
    <row r="15" spans="2:8" x14ac:dyDescent="0.25">
      <c r="B15" s="928" t="s">
        <v>525</v>
      </c>
      <c r="C15" s="928">
        <v>0.36</v>
      </c>
      <c r="D15" s="928">
        <v>2.2400000000000002</v>
      </c>
      <c r="E15" s="899">
        <f>D15/SUM($D$13:$D$17)</f>
        <v>6.1998339330196515E-2</v>
      </c>
    </row>
    <row r="16" spans="2:8" x14ac:dyDescent="0.25">
      <c r="B16" s="928" t="s">
        <v>488</v>
      </c>
      <c r="C16" s="928">
        <v>1.04</v>
      </c>
      <c r="D16" s="928">
        <v>10.93</v>
      </c>
      <c r="E16" s="899">
        <f>D16/SUM($D$13:$D$17)</f>
        <v>0.30251868253528919</v>
      </c>
    </row>
    <row r="17" spans="2:8" x14ac:dyDescent="0.25">
      <c r="B17" s="946" t="s">
        <v>526</v>
      </c>
      <c r="C17" s="946">
        <v>0.18</v>
      </c>
      <c r="D17" s="946">
        <v>5.43</v>
      </c>
      <c r="E17" s="947">
        <f>D17/SUM($D$13:$D$17)</f>
        <v>0.15029061721561027</v>
      </c>
    </row>
    <row r="18" spans="2:8" x14ac:dyDescent="0.25">
      <c r="B18" s="1274" t="s">
        <v>515</v>
      </c>
      <c r="C18" s="1274"/>
      <c r="D18" s="1274"/>
      <c r="E18" s="1274"/>
    </row>
    <row r="19" spans="2:8" x14ac:dyDescent="0.25">
      <c r="B19" s="728" t="s">
        <v>527</v>
      </c>
      <c r="C19" s="948"/>
      <c r="D19" s="928"/>
      <c r="E19" s="928"/>
      <c r="H19" t="s">
        <v>475</v>
      </c>
    </row>
    <row r="21" spans="2:8" s="943" customFormat="1" x14ac:dyDescent="0.25">
      <c r="B21" s="955" t="s">
        <v>734</v>
      </c>
    </row>
    <row r="22" spans="2:8" x14ac:dyDescent="0.25">
      <c r="B22" s="1104" t="s">
        <v>802</v>
      </c>
      <c r="C22" s="1105">
        <f>'TDM Output'!I4/'TDM Output'!I6</f>
        <v>7.4994394070645343E-2</v>
      </c>
    </row>
    <row r="23" spans="2:8" x14ac:dyDescent="0.25">
      <c r="B23" s="946" t="s">
        <v>803</v>
      </c>
      <c r="C23" s="1106">
        <f>'TDM Output'!H4/'TDM Output'!H6</f>
        <v>8.7108124072368898E-2</v>
      </c>
      <c r="F23" t="s">
        <v>475</v>
      </c>
    </row>
    <row r="24" spans="2:8" x14ac:dyDescent="0.25">
      <c r="B24" s="1107" t="s">
        <v>814</v>
      </c>
    </row>
  </sheetData>
  <mergeCells count="5">
    <mergeCell ref="B9:D9"/>
    <mergeCell ref="B2:D2"/>
    <mergeCell ref="F2:G2"/>
    <mergeCell ref="B18:E18"/>
    <mergeCell ref="F8:G9"/>
  </mergeCells>
  <pageMargins left="0.7" right="0.7" top="0.75" bottom="0.75" header="0.3" footer="0.3"/>
  <ignoredErrors>
    <ignoredError sqref="G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2060"/>
    <pageSetUpPr fitToPage="1"/>
  </sheetPr>
  <dimension ref="A2:J63"/>
  <sheetViews>
    <sheetView showGridLines="0" zoomScale="85" zoomScaleNormal="85" workbookViewId="0">
      <selection activeCell="F44" sqref="F44"/>
    </sheetView>
  </sheetViews>
  <sheetFormatPr defaultRowHeight="12.75" x14ac:dyDescent="0.25"/>
  <cols>
    <col min="1" max="1" width="9.140625" style="1"/>
    <col min="2" max="2" width="33.42578125" style="1" customWidth="1"/>
    <col min="3" max="3" width="38.140625" style="1" bestFit="1" customWidth="1"/>
    <col min="4" max="4" width="18.42578125" style="1" customWidth="1"/>
    <col min="5" max="5" width="19" style="7" customWidth="1"/>
    <col min="6" max="6" width="17.28515625" style="7" customWidth="1"/>
    <col min="7" max="10" width="7" style="7" customWidth="1"/>
    <col min="11" max="16384" width="9.140625" style="14"/>
  </cols>
  <sheetData>
    <row r="2" spans="2:10" s="1" customFormat="1" ht="18" x14ac:dyDescent="0.25">
      <c r="B2" s="46" t="str">
        <f>"Benefit-Cost Assessment @ 3% Discount Rate for "&amp;'About the Spreadsheet Tabs'!$B$3</f>
        <v>Benefit-Cost Assessment @ 3% Discount Rate for Benefit-Cost Assessment Spreadsheet for Access I-95: Driving Baltimore's City Development</v>
      </c>
      <c r="C2" s="73"/>
      <c r="D2" s="73"/>
      <c r="E2" s="7"/>
      <c r="F2" s="7"/>
      <c r="G2" s="7"/>
      <c r="H2" s="7"/>
      <c r="I2" s="7"/>
      <c r="J2" s="7"/>
    </row>
    <row r="3" spans="2:10" s="1" customFormat="1" ht="13.5" thickBot="1" x14ac:dyDescent="0.3">
      <c r="B3" s="73"/>
      <c r="C3" s="73"/>
      <c r="D3" s="73"/>
      <c r="E3" s="7"/>
      <c r="F3" s="7"/>
      <c r="G3" s="7"/>
      <c r="H3" s="7"/>
      <c r="I3" s="7"/>
      <c r="J3" s="7"/>
    </row>
    <row r="4" spans="2:10" s="1" customFormat="1" ht="16.5" thickBot="1" x14ac:dyDescent="0.3">
      <c r="B4" s="190" t="s">
        <v>456</v>
      </c>
      <c r="C4" s="159"/>
      <c r="D4" s="159"/>
      <c r="E4" s="160"/>
      <c r="F4" s="7"/>
      <c r="G4" s="7"/>
      <c r="H4" s="7"/>
      <c r="I4" s="7"/>
      <c r="J4" s="7"/>
    </row>
    <row r="5" spans="2:10" s="1" customFormat="1" x14ac:dyDescent="0.25">
      <c r="B5" s="161"/>
      <c r="C5" s="148"/>
      <c r="D5" s="148"/>
      <c r="E5" s="162"/>
      <c r="F5" s="7"/>
      <c r="G5" s="7"/>
      <c r="H5" s="7"/>
      <c r="I5" s="7"/>
      <c r="J5" s="7"/>
    </row>
    <row r="6" spans="2:10" s="1" customFormat="1" ht="15.75" x14ac:dyDescent="0.25">
      <c r="B6" s="191" t="s">
        <v>464</v>
      </c>
      <c r="C6" s="192"/>
      <c r="D6" s="193"/>
      <c r="E6" s="768">
        <f>E33-E18</f>
        <v>907169525.94908881</v>
      </c>
      <c r="F6" s="7"/>
      <c r="G6" s="7"/>
      <c r="H6" s="7"/>
      <c r="I6" s="7"/>
      <c r="J6" s="7"/>
    </row>
    <row r="7" spans="2:10" s="1" customFormat="1" ht="15.75" x14ac:dyDescent="0.25">
      <c r="B7" s="191"/>
      <c r="C7" s="192"/>
      <c r="D7" s="192"/>
      <c r="E7" s="156"/>
      <c r="F7" s="7"/>
      <c r="G7" s="7"/>
      <c r="H7" s="7"/>
      <c r="I7" s="7"/>
      <c r="J7" s="7"/>
    </row>
    <row r="8" spans="2:10" s="1" customFormat="1" ht="15.75" x14ac:dyDescent="0.25">
      <c r="B8" s="191" t="s">
        <v>465</v>
      </c>
      <c r="C8" s="192"/>
      <c r="D8" s="192"/>
      <c r="E8" s="957">
        <f>E33/E18</f>
        <v>6.4662443855801444</v>
      </c>
      <c r="F8" s="7"/>
      <c r="G8" s="7"/>
      <c r="H8" s="7"/>
      <c r="I8" s="7"/>
      <c r="J8" s="7"/>
    </row>
    <row r="9" spans="2:10" s="1" customFormat="1" ht="13.5" thickBot="1" x14ac:dyDescent="0.3">
      <c r="B9" s="164"/>
      <c r="C9" s="152"/>
      <c r="D9" s="152"/>
      <c r="E9" s="165"/>
      <c r="F9" s="7"/>
      <c r="G9" s="7"/>
      <c r="H9" s="7"/>
      <c r="I9" s="7"/>
      <c r="J9" s="7"/>
    </row>
    <row r="10" spans="2:10" s="1" customFormat="1" ht="13.5" hidden="1" thickBot="1" x14ac:dyDescent="0.3">
      <c r="B10" s="876"/>
      <c r="C10" s="877"/>
      <c r="D10" s="877"/>
      <c r="E10" s="755"/>
      <c r="F10" s="7"/>
      <c r="G10" s="7"/>
      <c r="H10" s="7"/>
      <c r="I10" s="7"/>
      <c r="J10" s="7"/>
    </row>
    <row r="11" spans="2:10" s="1" customFormat="1" ht="16.5" thickBot="1" x14ac:dyDescent="0.3">
      <c r="B11" s="195" t="s">
        <v>457</v>
      </c>
      <c r="C11" s="144"/>
      <c r="D11" s="144"/>
      <c r="E11" s="145"/>
    </row>
    <row r="12" spans="2:10" s="1" customFormat="1" x14ac:dyDescent="0.25">
      <c r="B12" s="146"/>
      <c r="C12" s="147"/>
      <c r="D12" s="148"/>
      <c r="E12" s="149"/>
    </row>
    <row r="13" spans="2:10" s="1" customFormat="1" x14ac:dyDescent="0.25">
      <c r="B13" s="759"/>
      <c r="C13" s="760"/>
      <c r="D13" s="47"/>
      <c r="E13" s="156"/>
    </row>
    <row r="14" spans="2:10" s="1" customFormat="1" x14ac:dyDescent="0.25">
      <c r="B14" s="756" t="s">
        <v>426</v>
      </c>
      <c r="C14" s="760"/>
      <c r="D14" s="757" t="s">
        <v>443</v>
      </c>
      <c r="E14" s="758" t="s">
        <v>438</v>
      </c>
    </row>
    <row r="15" spans="2:10" s="1" customFormat="1" x14ac:dyDescent="0.25">
      <c r="B15" s="756"/>
      <c r="C15" s="760"/>
      <c r="D15" s="757"/>
      <c r="E15" s="758"/>
    </row>
    <row r="16" spans="2:10" s="1" customFormat="1" x14ac:dyDescent="0.25">
      <c r="B16" s="163" t="s">
        <v>82</v>
      </c>
      <c r="C16" s="760"/>
      <c r="D16" s="766">
        <f>BenefitSummary!C333</f>
        <v>183289000.00000003</v>
      </c>
      <c r="E16" s="767">
        <f>BenefitSummary!E333</f>
        <v>165831384.45280337</v>
      </c>
    </row>
    <row r="17" spans="2:6" s="1" customFormat="1" ht="13.5" thickBot="1" x14ac:dyDescent="0.3">
      <c r="B17" s="163" t="s">
        <v>445</v>
      </c>
      <c r="C17" s="760"/>
      <c r="D17" s="769">
        <f>BenefitSummary!D333</f>
        <v>243498.91</v>
      </c>
      <c r="E17" s="770">
        <f>BenefitSummary!G333</f>
        <v>127080.25510208361</v>
      </c>
    </row>
    <row r="18" spans="2:6" s="1" customFormat="1" x14ac:dyDescent="0.25">
      <c r="B18" s="761" t="s">
        <v>463</v>
      </c>
      <c r="C18" s="760"/>
      <c r="D18" s="766">
        <f>SUM(D16:D17)</f>
        <v>183532498.91000003</v>
      </c>
      <c r="E18" s="767">
        <f>SUM(E16:E17)</f>
        <v>165958464.70790547</v>
      </c>
    </row>
    <row r="19" spans="2:6" s="1" customFormat="1" ht="13.5" thickBot="1" x14ac:dyDescent="0.3">
      <c r="B19" s="150"/>
      <c r="C19" s="151"/>
      <c r="D19" s="152"/>
      <c r="E19" s="153"/>
    </row>
    <row r="20" spans="2:6" s="1" customFormat="1" ht="13.5" hidden="1" thickBot="1" x14ac:dyDescent="0.3">
      <c r="B20" s="185"/>
      <c r="C20" s="49"/>
      <c r="D20" s="186"/>
      <c r="E20" s="755"/>
    </row>
    <row r="21" spans="2:6" s="1" customFormat="1" ht="16.5" thickBot="1" x14ac:dyDescent="0.3">
      <c r="B21" s="1068" t="s">
        <v>444</v>
      </c>
      <c r="C21" s="1069"/>
      <c r="D21" s="1069"/>
      <c r="E21" s="1070"/>
    </row>
    <row r="22" spans="2:6" s="1" customFormat="1" x14ac:dyDescent="0.25">
      <c r="B22" s="146"/>
      <c r="C22" s="147"/>
      <c r="D22" s="148"/>
      <c r="E22" s="149"/>
    </row>
    <row r="23" spans="2:6" s="1" customFormat="1" x14ac:dyDescent="0.25">
      <c r="B23" s="756" t="s">
        <v>455</v>
      </c>
      <c r="C23" s="464" t="s">
        <v>437</v>
      </c>
      <c r="D23" s="757" t="s">
        <v>443</v>
      </c>
      <c r="E23" s="758" t="s">
        <v>438</v>
      </c>
    </row>
    <row r="24" spans="2:6" s="1" customFormat="1" x14ac:dyDescent="0.25">
      <c r="B24" s="154"/>
      <c r="C24" s="155"/>
      <c r="D24" s="155"/>
      <c r="E24" s="156"/>
    </row>
    <row r="25" spans="2:6" s="1" customFormat="1" x14ac:dyDescent="0.25">
      <c r="B25" s="163" t="s">
        <v>435</v>
      </c>
      <c r="C25" s="47" t="s">
        <v>702</v>
      </c>
      <c r="D25" s="1334">
        <f>BenefitSummary!C292</f>
        <v>730496.73</v>
      </c>
      <c r="E25" s="1335">
        <f>BenefitSummary!D292</f>
        <v>500109.92143813358</v>
      </c>
      <c r="F25" s="887" t="s">
        <v>475</v>
      </c>
    </row>
    <row r="26" spans="2:6" x14ac:dyDescent="0.25">
      <c r="B26" s="754" t="s">
        <v>31</v>
      </c>
      <c r="C26" s="753" t="s">
        <v>500</v>
      </c>
      <c r="D26" s="1334">
        <f>BenefitSummary!D35</f>
        <v>1765287249.1725314</v>
      </c>
      <c r="E26" s="1335">
        <f>BenefitSummary!E35</f>
        <v>987916280.52320111</v>
      </c>
      <c r="F26" s="887"/>
    </row>
    <row r="27" spans="2:6" x14ac:dyDescent="0.25">
      <c r="B27" s="752"/>
      <c r="C27" s="753" t="s">
        <v>703</v>
      </c>
      <c r="D27" s="1334">
        <f>BenefitSummary!D71</f>
        <v>29765734.546439979</v>
      </c>
      <c r="E27" s="1335">
        <f>BenefitSummary!F71</f>
        <v>56833580.3682134</v>
      </c>
      <c r="F27" s="887"/>
    </row>
    <row r="28" spans="2:6" x14ac:dyDescent="0.25">
      <c r="B28" s="163" t="s">
        <v>689</v>
      </c>
      <c r="C28" s="753" t="s">
        <v>691</v>
      </c>
      <c r="D28" s="1334">
        <f>BenefitSummary!C179</f>
        <v>14851134.06768129</v>
      </c>
      <c r="E28" s="1335">
        <f>BenefitSummary!D179</f>
        <v>8454056.0797322728</v>
      </c>
      <c r="F28" s="887"/>
    </row>
    <row r="29" spans="2:6" x14ac:dyDescent="0.25">
      <c r="B29" s="752"/>
      <c r="C29" s="753" t="s">
        <v>692</v>
      </c>
      <c r="D29" s="1334">
        <f>BenefitSummary!G215</f>
        <v>21629170.278665241</v>
      </c>
      <c r="E29" s="1335">
        <f>BenefitSummary!H215</f>
        <v>12306539.785799488</v>
      </c>
      <c r="F29" s="887"/>
    </row>
    <row r="30" spans="2:6" x14ac:dyDescent="0.25">
      <c r="B30" s="163" t="s">
        <v>506</v>
      </c>
      <c r="C30" s="753" t="s">
        <v>704</v>
      </c>
      <c r="D30" s="1334">
        <f>BenefitSummary!C107</f>
        <v>4535311.326993593</v>
      </c>
      <c r="E30" s="1335">
        <f>BenefitSummary!E107</f>
        <v>2959753.2907000799</v>
      </c>
      <c r="F30" s="887"/>
    </row>
    <row r="31" spans="2:6" x14ac:dyDescent="0.25">
      <c r="B31" s="163"/>
      <c r="C31" s="47" t="s">
        <v>705</v>
      </c>
      <c r="D31" s="1334">
        <f>BenefitSummary!F143</f>
        <v>7010473.0569171244</v>
      </c>
      <c r="E31" s="1335">
        <f>BenefitSummary!G143</f>
        <v>3923781.0092134927</v>
      </c>
      <c r="F31" s="887"/>
    </row>
    <row r="32" spans="2:6" ht="13.5" thickBot="1" x14ac:dyDescent="0.3">
      <c r="B32" s="163" t="s">
        <v>507</v>
      </c>
      <c r="C32" s="47" t="s">
        <v>706</v>
      </c>
      <c r="D32" s="1336">
        <f>BenefitSummary!C251</f>
        <v>406334.21429868916</v>
      </c>
      <c r="E32" s="1337">
        <f>BenefitSummary!D251</f>
        <v>233889.67869642662</v>
      </c>
      <c r="F32" s="1067" t="s">
        <v>475</v>
      </c>
    </row>
    <row r="33" spans="2:10" x14ac:dyDescent="0.25">
      <c r="B33" s="754" t="s">
        <v>462</v>
      </c>
      <c r="C33" s="47"/>
      <c r="D33" s="1334">
        <f>SUM(D25:D32)</f>
        <v>1844215903.3935275</v>
      </c>
      <c r="E33" s="1335">
        <f>SUM(E25:E32)</f>
        <v>1073127990.6569943</v>
      </c>
      <c r="F33" s="887" t="s">
        <v>475</v>
      </c>
    </row>
    <row r="34" spans="2:10" ht="13.5" thickBot="1" x14ac:dyDescent="0.3">
      <c r="B34" s="164"/>
      <c r="C34" s="152"/>
      <c r="D34" s="152"/>
      <c r="E34" s="153"/>
      <c r="F34" s="157"/>
      <c r="G34" s="157"/>
      <c r="H34" s="157"/>
      <c r="I34" s="157"/>
      <c r="J34" s="157"/>
    </row>
    <row r="35" spans="2:10" x14ac:dyDescent="0.25">
      <c r="B35" s="7"/>
      <c r="C35" s="7"/>
      <c r="D35" s="7"/>
      <c r="E35" s="157"/>
      <c r="F35" s="157"/>
      <c r="G35" s="157"/>
      <c r="H35" s="157"/>
      <c r="I35" s="157"/>
      <c r="J35" s="157"/>
    </row>
    <row r="36" spans="2:10" x14ac:dyDescent="0.25">
      <c r="B36" s="7"/>
      <c r="C36" s="7" t="s">
        <v>475</v>
      </c>
      <c r="D36" s="7"/>
      <c r="E36" s="157"/>
      <c r="F36" s="157"/>
      <c r="G36" s="157"/>
      <c r="H36" s="157"/>
      <c r="I36" s="157"/>
      <c r="J36" s="157"/>
    </row>
    <row r="37" spans="2:10" x14ac:dyDescent="0.25">
      <c r="B37" s="7"/>
      <c r="C37" s="7"/>
      <c r="D37" s="7"/>
      <c r="E37" s="157"/>
      <c r="F37" s="157"/>
      <c r="G37" s="157"/>
      <c r="H37" s="157"/>
      <c r="I37" s="157"/>
      <c r="J37" s="157"/>
    </row>
    <row r="38" spans="2:10" x14ac:dyDescent="0.25">
      <c r="B38" s="7"/>
      <c r="C38" s="7"/>
      <c r="D38" s="7"/>
      <c r="E38" s="157"/>
      <c r="F38" s="157"/>
      <c r="G38" s="157"/>
      <c r="H38" s="157"/>
      <c r="I38" s="157"/>
      <c r="J38" s="157"/>
    </row>
    <row r="39" spans="2:10" x14ac:dyDescent="0.25">
      <c r="B39" s="7"/>
      <c r="C39" s="7"/>
      <c r="D39" s="7"/>
      <c r="E39" s="157"/>
      <c r="F39" s="157"/>
      <c r="G39" s="157"/>
      <c r="H39" s="157"/>
      <c r="I39" s="157"/>
      <c r="J39" s="157"/>
    </row>
    <row r="40" spans="2:10" x14ac:dyDescent="0.25">
      <c r="B40" s="7"/>
      <c r="C40" s="7"/>
      <c r="D40" s="7"/>
      <c r="E40" s="157" t="s">
        <v>475</v>
      </c>
      <c r="F40" s="157"/>
      <c r="G40" s="157"/>
      <c r="H40" s="157"/>
      <c r="I40" s="157"/>
      <c r="J40" s="157"/>
    </row>
    <row r="41" spans="2:10" x14ac:dyDescent="0.25">
      <c r="B41" s="7"/>
      <c r="C41" s="7" t="s">
        <v>475</v>
      </c>
      <c r="D41" s="7"/>
      <c r="E41" s="157"/>
      <c r="F41" s="157"/>
      <c r="G41" s="157"/>
      <c r="H41" s="157"/>
      <c r="I41" s="157"/>
      <c r="J41" s="157"/>
    </row>
    <row r="42" spans="2:10" x14ac:dyDescent="0.25">
      <c r="B42" s="7"/>
      <c r="C42" s="7"/>
      <c r="D42" s="7"/>
      <c r="E42" s="157"/>
      <c r="F42" s="157"/>
      <c r="G42" s="157"/>
      <c r="H42" s="157"/>
      <c r="I42" s="157"/>
      <c r="J42" s="157"/>
    </row>
    <row r="43" spans="2:10" x14ac:dyDescent="0.25">
      <c r="B43" s="7"/>
      <c r="C43" s="7"/>
      <c r="D43" s="7"/>
      <c r="E43" s="157"/>
      <c r="F43" s="157"/>
      <c r="G43" s="157"/>
      <c r="H43" s="157"/>
      <c r="I43" s="157"/>
      <c r="J43" s="157"/>
    </row>
    <row r="44" spans="2:10" x14ac:dyDescent="0.25">
      <c r="B44" s="7"/>
      <c r="C44" s="7"/>
      <c r="D44" s="7"/>
      <c r="E44" s="157" t="s">
        <v>475</v>
      </c>
      <c r="F44" s="157"/>
      <c r="G44" s="157"/>
      <c r="H44" s="157"/>
      <c r="I44" s="157"/>
      <c r="J44" s="157"/>
    </row>
    <row r="45" spans="2:10" x14ac:dyDescent="0.25">
      <c r="B45" s="7"/>
      <c r="C45" s="7"/>
      <c r="D45" s="7"/>
      <c r="E45" s="157"/>
      <c r="F45" s="157"/>
      <c r="G45" s="157"/>
      <c r="H45" s="157"/>
      <c r="I45" s="157"/>
      <c r="J45" s="157"/>
    </row>
    <row r="46" spans="2:10" x14ac:dyDescent="0.25">
      <c r="B46" s="7"/>
      <c r="C46" s="7"/>
      <c r="D46" s="7"/>
      <c r="E46" s="157"/>
      <c r="F46" s="157"/>
      <c r="G46" s="157"/>
      <c r="H46" s="157"/>
      <c r="I46" s="157"/>
      <c r="J46" s="157"/>
    </row>
    <row r="47" spans="2:10" x14ac:dyDescent="0.25">
      <c r="B47" s="7"/>
      <c r="C47" s="7"/>
      <c r="D47" s="7"/>
      <c r="E47" s="157"/>
      <c r="F47" s="157"/>
      <c r="G47" s="157"/>
      <c r="H47" s="157"/>
      <c r="I47" s="157"/>
      <c r="J47" s="157"/>
    </row>
    <row r="48" spans="2:10" x14ac:dyDescent="0.25">
      <c r="B48" s="7"/>
      <c r="C48" s="7"/>
      <c r="D48" s="7"/>
      <c r="E48" s="157"/>
      <c r="F48" s="157"/>
      <c r="G48" s="157"/>
      <c r="H48" s="157"/>
      <c r="I48" s="157"/>
      <c r="J48" s="157"/>
    </row>
    <row r="49" spans="2:10" x14ac:dyDescent="0.25">
      <c r="B49" s="7"/>
      <c r="C49" s="7"/>
      <c r="D49" s="7"/>
      <c r="E49" s="157"/>
      <c r="F49" s="157"/>
      <c r="G49" s="157"/>
      <c r="H49" s="157"/>
      <c r="I49" s="157"/>
      <c r="J49" s="157"/>
    </row>
    <row r="50" spans="2:10" x14ac:dyDescent="0.25">
      <c r="B50" s="7"/>
      <c r="C50" s="7"/>
      <c r="D50" s="7"/>
      <c r="E50" s="157"/>
      <c r="F50" s="157"/>
      <c r="G50" s="157"/>
      <c r="H50" s="157"/>
      <c r="I50" s="157"/>
      <c r="J50" s="157"/>
    </row>
    <row r="51" spans="2:10" x14ac:dyDescent="0.25">
      <c r="B51" s="7"/>
      <c r="C51" s="7"/>
      <c r="D51" s="7"/>
      <c r="E51" s="157"/>
      <c r="F51" s="157"/>
      <c r="G51" s="157"/>
      <c r="H51" s="157"/>
      <c r="I51" s="157"/>
      <c r="J51" s="157"/>
    </row>
    <row r="52" spans="2:10" x14ac:dyDescent="0.25">
      <c r="B52" s="7"/>
      <c r="C52" s="7"/>
      <c r="D52" s="7"/>
      <c r="E52" s="157"/>
      <c r="F52" s="157"/>
      <c r="G52" s="157"/>
      <c r="H52" s="157"/>
      <c r="I52" s="157"/>
      <c r="J52" s="157"/>
    </row>
    <row r="53" spans="2:10" x14ac:dyDescent="0.25">
      <c r="B53" s="7"/>
      <c r="C53" s="7"/>
      <c r="D53" s="7"/>
      <c r="E53" s="157"/>
      <c r="F53" s="157"/>
      <c r="G53" s="157"/>
      <c r="H53" s="157"/>
      <c r="I53" s="157"/>
      <c r="J53" s="157"/>
    </row>
    <row r="54" spans="2:10" x14ac:dyDescent="0.25">
      <c r="B54" s="7"/>
      <c r="C54" s="7"/>
      <c r="D54" s="7"/>
      <c r="E54" s="157"/>
      <c r="F54" s="157"/>
      <c r="G54" s="157"/>
      <c r="H54" s="157"/>
      <c r="I54" s="157"/>
      <c r="J54" s="157"/>
    </row>
    <row r="55" spans="2:10" x14ac:dyDescent="0.25">
      <c r="B55" s="7"/>
      <c r="C55" s="7"/>
      <c r="D55" s="7"/>
      <c r="E55" s="157"/>
      <c r="F55" s="157"/>
      <c r="G55" s="157"/>
      <c r="H55" s="157"/>
      <c r="I55" s="157"/>
      <c r="J55" s="157"/>
    </row>
    <row r="56" spans="2:10" x14ac:dyDescent="0.25">
      <c r="B56" s="7"/>
      <c r="C56" s="7"/>
      <c r="D56" s="7"/>
      <c r="E56" s="157"/>
      <c r="F56" s="157"/>
      <c r="G56" s="157"/>
      <c r="H56" s="157"/>
      <c r="I56" s="157"/>
      <c r="J56" s="157"/>
    </row>
    <row r="57" spans="2:10" x14ac:dyDescent="0.25">
      <c r="B57" s="7"/>
      <c r="C57" s="7"/>
      <c r="D57" s="7"/>
      <c r="E57" s="157"/>
      <c r="F57" s="157"/>
      <c r="G57" s="157"/>
      <c r="H57" s="157"/>
      <c r="I57" s="157"/>
      <c r="J57" s="157"/>
    </row>
    <row r="58" spans="2:10" x14ac:dyDescent="0.25">
      <c r="B58" s="7"/>
      <c r="C58" s="7"/>
      <c r="D58" s="7"/>
      <c r="E58" s="157"/>
      <c r="F58" s="157"/>
      <c r="G58" s="157"/>
      <c r="H58" s="157"/>
      <c r="I58" s="157"/>
      <c r="J58" s="157"/>
    </row>
    <row r="59" spans="2:10" x14ac:dyDescent="0.25">
      <c r="B59" s="7"/>
      <c r="C59" s="7"/>
      <c r="D59" s="7"/>
      <c r="E59" s="157"/>
      <c r="F59" s="157"/>
      <c r="G59" s="157"/>
      <c r="H59" s="157"/>
      <c r="I59" s="157"/>
      <c r="J59" s="157"/>
    </row>
    <row r="60" spans="2:10" x14ac:dyDescent="0.25">
      <c r="B60" s="7"/>
      <c r="C60" s="7"/>
      <c r="D60" s="7"/>
      <c r="E60" s="157"/>
      <c r="F60" s="157"/>
      <c r="G60" s="157"/>
      <c r="H60" s="157"/>
      <c r="I60" s="157"/>
      <c r="J60" s="157"/>
    </row>
    <row r="61" spans="2:10" x14ac:dyDescent="0.25">
      <c r="B61" s="7"/>
      <c r="C61" s="7"/>
      <c r="D61" s="7"/>
      <c r="E61" s="157"/>
      <c r="F61" s="157"/>
      <c r="G61" s="157"/>
      <c r="H61" s="157"/>
      <c r="I61" s="157"/>
      <c r="J61" s="157"/>
    </row>
    <row r="62" spans="2:10" x14ac:dyDescent="0.25">
      <c r="B62" s="7"/>
      <c r="C62" s="7"/>
      <c r="D62" s="7"/>
      <c r="E62" s="158"/>
      <c r="F62" s="158"/>
      <c r="G62" s="158"/>
      <c r="H62" s="158"/>
      <c r="I62" s="158"/>
      <c r="J62" s="158"/>
    </row>
    <row r="63" spans="2:10" x14ac:dyDescent="0.25">
      <c r="B63" s="7"/>
      <c r="C63" s="7"/>
      <c r="D63" s="7"/>
      <c r="E63" s="14"/>
      <c r="F63" s="14"/>
      <c r="G63" s="14"/>
      <c r="H63" s="14"/>
      <c r="I63" s="14"/>
      <c r="J63" s="14"/>
    </row>
  </sheetData>
  <pageMargins left="0.7" right="0.7" top="0.75" bottom="0.75" header="0.3" footer="0.3"/>
  <pageSetup scale="15" fitToHeight="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R210"/>
  <sheetViews>
    <sheetView zoomScale="75" zoomScaleNormal="75" workbookViewId="0">
      <pane ySplit="4" topLeftCell="A5" activePane="bottomLeft" state="frozenSplit"/>
      <selection pane="bottomLeft" activeCell="I31" sqref="I31"/>
    </sheetView>
  </sheetViews>
  <sheetFormatPr defaultRowHeight="15" x14ac:dyDescent="0.25"/>
  <cols>
    <col min="1" max="1" width="3.42578125" style="603" customWidth="1"/>
    <col min="2" max="2" width="6.28515625" style="522" customWidth="1"/>
    <col min="3" max="3" width="9.5703125" style="522" customWidth="1"/>
    <col min="4" max="5" width="10.140625" style="522" customWidth="1"/>
    <col min="6" max="6" width="12" style="522" customWidth="1"/>
    <col min="7" max="21" width="10.140625" style="522" customWidth="1"/>
    <col min="22" max="23" width="10.140625" style="522" hidden="1" customWidth="1"/>
    <col min="24" max="24" width="4" style="603" customWidth="1"/>
    <col min="25" max="25" width="6.5703125" style="603" customWidth="1"/>
    <col min="26" max="26" width="7.28515625" style="603" customWidth="1"/>
    <col min="27" max="28" width="10.42578125" style="603" hidden="1" customWidth="1"/>
    <col min="29" max="29" width="10.42578125" style="603" bestFit="1" customWidth="1"/>
    <col min="30" max="30" width="10.42578125" style="603" hidden="1" customWidth="1"/>
    <col min="31" max="31" width="11.7109375" style="603" hidden="1" customWidth="1"/>
    <col min="32" max="35" width="10.42578125" style="603" hidden="1" customWidth="1"/>
    <col min="36" max="36" width="11.7109375" style="603" hidden="1" customWidth="1"/>
    <col min="37" max="40" width="10.42578125" style="603" hidden="1" customWidth="1"/>
    <col min="41" max="41" width="11.7109375" style="603" hidden="1" customWidth="1"/>
    <col min="42" max="43" width="10.42578125" style="603" hidden="1" customWidth="1"/>
    <col min="44" max="44" width="10.42578125" style="603" customWidth="1"/>
    <col min="45" max="45" width="10.42578125" style="603" hidden="1" customWidth="1"/>
    <col min="46" max="46" width="11.7109375" style="603" hidden="1" customWidth="1"/>
    <col min="47" max="47" width="9.140625" style="603" customWidth="1"/>
    <col min="48" max="70" width="9.140625" style="603"/>
    <col min="71" max="16384" width="9.140625" style="522"/>
  </cols>
  <sheetData>
    <row r="2" spans="2:46" x14ac:dyDescent="0.25">
      <c r="B2" s="519" t="s">
        <v>369</v>
      </c>
      <c r="C2" s="519"/>
      <c r="D2" s="519"/>
      <c r="E2" s="519"/>
      <c r="F2" s="519"/>
      <c r="G2" s="519"/>
      <c r="H2" s="519"/>
      <c r="I2" s="519"/>
      <c r="J2" s="519"/>
      <c r="K2" s="519"/>
      <c r="L2" s="519"/>
      <c r="M2" s="519"/>
      <c r="N2" s="519"/>
      <c r="O2" s="519"/>
      <c r="P2" s="519"/>
      <c r="Q2" s="519"/>
      <c r="R2" s="519"/>
      <c r="S2" s="519"/>
      <c r="T2" s="519"/>
      <c r="U2" s="519"/>
      <c r="V2" s="519"/>
      <c r="W2" s="519"/>
      <c r="Y2" s="1279" t="s">
        <v>379</v>
      </c>
      <c r="Z2" s="1279"/>
      <c r="AA2" s="1279"/>
      <c r="AB2" s="1279"/>
      <c r="AC2" s="1279"/>
      <c r="AD2" s="1279"/>
      <c r="AE2" s="1279"/>
      <c r="AF2" s="1279"/>
      <c r="AG2" s="1279"/>
      <c r="AH2" s="1279"/>
      <c r="AI2" s="1279"/>
      <c r="AJ2" s="1279"/>
      <c r="AK2" s="1279"/>
      <c r="AL2" s="1279"/>
      <c r="AM2" s="1279"/>
      <c r="AN2" s="1279"/>
      <c r="AO2" s="1279"/>
      <c r="AP2" s="1279"/>
      <c r="AQ2" s="1279"/>
      <c r="AR2" s="1279"/>
      <c r="AS2" s="1279"/>
      <c r="AT2" s="1279"/>
    </row>
    <row r="3" spans="2:46" x14ac:dyDescent="0.25">
      <c r="B3" s="1277" t="s">
        <v>138</v>
      </c>
      <c r="C3" s="1277" t="s">
        <v>374</v>
      </c>
      <c r="D3" s="1279" t="s">
        <v>370</v>
      </c>
      <c r="E3" s="1279"/>
      <c r="F3" s="1279"/>
      <c r="G3" s="1279"/>
      <c r="H3" s="1279"/>
      <c r="I3" s="1279" t="s">
        <v>371</v>
      </c>
      <c r="J3" s="1279"/>
      <c r="K3" s="1279"/>
      <c r="L3" s="1279"/>
      <c r="M3" s="1279"/>
      <c r="N3" s="1279" t="s">
        <v>372</v>
      </c>
      <c r="O3" s="1279"/>
      <c r="P3" s="1279"/>
      <c r="Q3" s="1279"/>
      <c r="R3" s="1279"/>
      <c r="S3" s="1279" t="s">
        <v>373</v>
      </c>
      <c r="T3" s="1279"/>
      <c r="U3" s="1279"/>
      <c r="V3" s="1279"/>
      <c r="W3" s="1279"/>
      <c r="Y3" s="1277" t="s">
        <v>138</v>
      </c>
      <c r="Z3" s="1277" t="s">
        <v>374</v>
      </c>
      <c r="AA3" s="519" t="s">
        <v>370</v>
      </c>
      <c r="AB3" s="519"/>
      <c r="AC3" s="519"/>
      <c r="AD3" s="519"/>
      <c r="AE3" s="519"/>
      <c r="AF3" s="1279" t="s">
        <v>371</v>
      </c>
      <c r="AG3" s="1279"/>
      <c r="AH3" s="1279"/>
      <c r="AI3" s="1279"/>
      <c r="AJ3" s="1279"/>
      <c r="AK3" s="1279" t="s">
        <v>372</v>
      </c>
      <c r="AL3" s="1279"/>
      <c r="AM3" s="1279"/>
      <c r="AN3" s="1279"/>
      <c r="AO3" s="1279"/>
      <c r="AP3" s="1279" t="s">
        <v>373</v>
      </c>
      <c r="AQ3" s="1279"/>
      <c r="AR3" s="1279"/>
      <c r="AS3" s="1279"/>
      <c r="AT3" s="1279"/>
    </row>
    <row r="4" spans="2:46" ht="57" customHeight="1" thickBot="1" x14ac:dyDescent="0.3">
      <c r="B4" s="1278"/>
      <c r="C4" s="1278"/>
      <c r="D4" s="573" t="s">
        <v>380</v>
      </c>
      <c r="E4" s="573" t="s">
        <v>381</v>
      </c>
      <c r="F4" s="671" t="s">
        <v>382</v>
      </c>
      <c r="G4" s="573" t="s">
        <v>383</v>
      </c>
      <c r="H4" s="573" t="s">
        <v>375</v>
      </c>
      <c r="I4" s="573" t="s">
        <v>380</v>
      </c>
      <c r="J4" s="573" t="s">
        <v>381</v>
      </c>
      <c r="K4" s="573" t="s">
        <v>382</v>
      </c>
      <c r="L4" s="573" t="s">
        <v>383</v>
      </c>
      <c r="M4" s="573" t="s">
        <v>375</v>
      </c>
      <c r="N4" s="573" t="s">
        <v>380</v>
      </c>
      <c r="O4" s="573" t="s">
        <v>381</v>
      </c>
      <c r="P4" s="573" t="s">
        <v>382</v>
      </c>
      <c r="Q4" s="573" t="s">
        <v>383</v>
      </c>
      <c r="R4" s="573" t="s">
        <v>375</v>
      </c>
      <c r="S4" s="573" t="s">
        <v>380</v>
      </c>
      <c r="T4" s="573" t="s">
        <v>381</v>
      </c>
      <c r="U4" s="672" t="s">
        <v>382</v>
      </c>
      <c r="V4" s="573" t="s">
        <v>383</v>
      </c>
      <c r="W4" s="573" t="s">
        <v>375</v>
      </c>
      <c r="Y4" s="1278"/>
      <c r="Z4" s="1278"/>
      <c r="AA4" s="573" t="s">
        <v>380</v>
      </c>
      <c r="AB4" s="573" t="s">
        <v>381</v>
      </c>
      <c r="AC4" s="670" t="s">
        <v>382</v>
      </c>
      <c r="AD4" s="573" t="s">
        <v>383</v>
      </c>
      <c r="AE4" s="573" t="s">
        <v>375</v>
      </c>
      <c r="AF4" s="573" t="s">
        <v>380</v>
      </c>
      <c r="AG4" s="573" t="s">
        <v>381</v>
      </c>
      <c r="AH4" s="573" t="s">
        <v>382</v>
      </c>
      <c r="AI4" s="573" t="s">
        <v>383</v>
      </c>
      <c r="AJ4" s="573" t="s">
        <v>375</v>
      </c>
      <c r="AK4" s="573" t="s">
        <v>380</v>
      </c>
      <c r="AL4" s="573" t="s">
        <v>381</v>
      </c>
      <c r="AM4" s="573" t="s">
        <v>382</v>
      </c>
      <c r="AN4" s="573" t="s">
        <v>383</v>
      </c>
      <c r="AO4" s="573" t="s">
        <v>375</v>
      </c>
      <c r="AP4" s="573" t="s">
        <v>380</v>
      </c>
      <c r="AQ4" s="573" t="s">
        <v>381</v>
      </c>
      <c r="AR4" s="573" t="s">
        <v>382</v>
      </c>
      <c r="AS4" s="573" t="s">
        <v>383</v>
      </c>
      <c r="AT4" s="573" t="s">
        <v>375</v>
      </c>
    </row>
    <row r="5" spans="2:46" ht="15.75" thickTop="1" x14ac:dyDescent="0.25">
      <c r="B5" s="659" t="s">
        <v>376</v>
      </c>
      <c r="C5" s="660">
        <v>2.5</v>
      </c>
      <c r="D5" s="656">
        <v>2104.7921885010905</v>
      </c>
      <c r="E5" s="656">
        <v>2148.3759592736897</v>
      </c>
      <c r="F5" s="662">
        <v>2162.8434504339561</v>
      </c>
      <c r="G5" s="663">
        <v>2110.0418744277731</v>
      </c>
      <c r="H5" s="663">
        <v>2170.9188171363635</v>
      </c>
      <c r="I5" s="656">
        <v>2581.1124729468365</v>
      </c>
      <c r="J5" s="656">
        <v>2587.1200282601649</v>
      </c>
      <c r="K5" s="656">
        <v>2617.2144154333491</v>
      </c>
      <c r="L5" s="656">
        <v>2519.775316243049</v>
      </c>
      <c r="M5" s="656">
        <v>2611.4515317542223</v>
      </c>
      <c r="N5" s="656">
        <v>7036.7558553725066</v>
      </c>
      <c r="O5" s="656">
        <v>6972.2764770139875</v>
      </c>
      <c r="P5" s="656">
        <v>8164.5574472100016</v>
      </c>
      <c r="Q5" s="656">
        <v>6304.878913643317</v>
      </c>
      <c r="R5" s="656">
        <v>7244.5390682510979</v>
      </c>
      <c r="S5" s="656">
        <v>8856.6177127435822</v>
      </c>
      <c r="T5" s="661">
        <v>9264.6706170816688</v>
      </c>
      <c r="U5" s="668">
        <v>9456.4507563291863</v>
      </c>
      <c r="V5" s="663">
        <v>8515.082195604009</v>
      </c>
      <c r="W5" s="669">
        <v>9407.5833386377963</v>
      </c>
      <c r="Y5" s="659" t="s">
        <v>376</v>
      </c>
      <c r="Z5" s="660">
        <v>2.5</v>
      </c>
      <c r="AA5" s="656">
        <v>1662.1179750062975</v>
      </c>
      <c r="AB5" s="661">
        <v>1692.4219945785853</v>
      </c>
      <c r="AC5" s="668">
        <v>1705.813271905399</v>
      </c>
      <c r="AD5" s="663">
        <v>1660.0895547905207</v>
      </c>
      <c r="AE5" s="656">
        <v>1710.055508401043</v>
      </c>
      <c r="AF5" s="656">
        <v>2081.6664997528515</v>
      </c>
      <c r="AG5" s="656">
        <v>2081.2825885220982</v>
      </c>
      <c r="AH5" s="656">
        <v>2107.9621876524347</v>
      </c>
      <c r="AI5" s="656">
        <v>2024.1324509299</v>
      </c>
      <c r="AJ5" s="656">
        <v>2100.5610874464101</v>
      </c>
      <c r="AK5" s="656">
        <v>6712.4223460401236</v>
      </c>
      <c r="AL5" s="656">
        <v>6668.8400941011369</v>
      </c>
      <c r="AM5" s="656">
        <v>7797.9151454597932</v>
      </c>
      <c r="AN5" s="656">
        <v>6042.0448805334308</v>
      </c>
      <c r="AO5" s="656">
        <v>6930.3141310804322</v>
      </c>
      <c r="AP5" s="656">
        <v>8056.5007742514435</v>
      </c>
      <c r="AQ5" s="656">
        <v>8517.5056907836024</v>
      </c>
      <c r="AR5" s="657">
        <v>8686.0653203942438</v>
      </c>
      <c r="AS5" s="656">
        <v>7953.6507309954995</v>
      </c>
      <c r="AT5" s="658">
        <v>8705.3454486961728</v>
      </c>
    </row>
    <row r="6" spans="2:46" x14ac:dyDescent="0.25">
      <c r="B6" s="587" t="s">
        <v>376</v>
      </c>
      <c r="C6" s="588">
        <v>5</v>
      </c>
      <c r="D6" s="597">
        <v>1160.4838368958863</v>
      </c>
      <c r="E6" s="597">
        <v>1213.7114086603315</v>
      </c>
      <c r="F6" s="637">
        <v>1202.4949312706717</v>
      </c>
      <c r="G6" s="617">
        <v>1192.0745208384924</v>
      </c>
      <c r="H6" s="617">
        <v>1218.0422666519628</v>
      </c>
      <c r="I6" s="597">
        <v>1423.1045337536525</v>
      </c>
      <c r="J6" s="597">
        <v>1461.5770951628781</v>
      </c>
      <c r="K6" s="597">
        <v>1455.1155184050328</v>
      </c>
      <c r="L6" s="597">
        <v>1423.5546645469724</v>
      </c>
      <c r="M6" s="597">
        <v>1465.2129401989755</v>
      </c>
      <c r="N6" s="597">
        <v>3759.5902951011067</v>
      </c>
      <c r="O6" s="597">
        <v>3529.0440683520587</v>
      </c>
      <c r="P6" s="597">
        <v>4245.5182170885037</v>
      </c>
      <c r="Q6" s="597">
        <v>3191.2425772750753</v>
      </c>
      <c r="R6" s="597">
        <v>3719.3279145891092</v>
      </c>
      <c r="S6" s="597">
        <v>4599.7627176788601</v>
      </c>
      <c r="T6" s="606">
        <v>4675.5841437514327</v>
      </c>
      <c r="U6" s="643">
        <v>4810.9320945091658</v>
      </c>
      <c r="V6" s="617">
        <v>4297.2933158161968</v>
      </c>
      <c r="W6" s="628">
        <v>4770.3397925320669</v>
      </c>
      <c r="Y6" s="587" t="s">
        <v>376</v>
      </c>
      <c r="Z6" s="588">
        <v>5</v>
      </c>
      <c r="AA6" s="597">
        <v>916.41400778028867</v>
      </c>
      <c r="AB6" s="606">
        <v>956.12310043822367</v>
      </c>
      <c r="AC6" s="643">
        <v>948.39587800444826</v>
      </c>
      <c r="AD6" s="617">
        <v>937.87260080446129</v>
      </c>
      <c r="AE6" s="597">
        <v>959.46466128154862</v>
      </c>
      <c r="AF6" s="597">
        <v>1147.7334151886828</v>
      </c>
      <c r="AG6" s="597">
        <v>1175.8074332526874</v>
      </c>
      <c r="AH6" s="597">
        <v>1171.9821170846647</v>
      </c>
      <c r="AI6" s="597">
        <v>1143.5397329307827</v>
      </c>
      <c r="AJ6" s="597">
        <v>1178.5664982024171</v>
      </c>
      <c r="AK6" s="597">
        <v>3586.305739103454</v>
      </c>
      <c r="AL6" s="597">
        <v>3375.4585972693903</v>
      </c>
      <c r="AM6" s="597">
        <v>4054.8665398481544</v>
      </c>
      <c r="AN6" s="597">
        <v>3058.2079593695416</v>
      </c>
      <c r="AO6" s="597">
        <v>3558.0056317953467</v>
      </c>
      <c r="AP6" s="597">
        <v>4184.2149111879098</v>
      </c>
      <c r="AQ6" s="597">
        <v>4298.5138056300257</v>
      </c>
      <c r="AR6" s="653">
        <v>4419.0015367995256</v>
      </c>
      <c r="AS6" s="597">
        <v>4013.9565699423169</v>
      </c>
      <c r="AT6" s="598">
        <v>4414.2533004301167</v>
      </c>
    </row>
    <row r="7" spans="2:46" x14ac:dyDescent="0.25">
      <c r="B7" s="587" t="s">
        <v>376</v>
      </c>
      <c r="C7" s="588">
        <v>10</v>
      </c>
      <c r="D7" s="597">
        <v>685.30700513262479</v>
      </c>
      <c r="E7" s="597">
        <v>746.37819865608651</v>
      </c>
      <c r="F7" s="637">
        <v>722.51359371615524</v>
      </c>
      <c r="G7" s="617">
        <v>733.09083955850906</v>
      </c>
      <c r="H7" s="617">
        <v>741.40778973966371</v>
      </c>
      <c r="I7" s="597">
        <v>840.39387280572043</v>
      </c>
      <c r="J7" s="597">
        <v>898.80450303154396</v>
      </c>
      <c r="K7" s="597">
        <v>874.29952104997108</v>
      </c>
      <c r="L7" s="597">
        <v>875.44433334261544</v>
      </c>
      <c r="M7" s="597">
        <v>891.85762861649198</v>
      </c>
      <c r="N7" s="597">
        <v>2304.9434778019627</v>
      </c>
      <c r="O7" s="597">
        <v>2032.6736515419968</v>
      </c>
      <c r="P7" s="597">
        <v>2664.0429971454578</v>
      </c>
      <c r="Q7" s="597">
        <v>1838.1289783088453</v>
      </c>
      <c r="R7" s="597">
        <v>2221.5982197018875</v>
      </c>
      <c r="S7" s="597">
        <v>2755.4885301662271</v>
      </c>
      <c r="T7" s="606">
        <v>2906.4205927656249</v>
      </c>
      <c r="U7" s="643">
        <v>2940.595505298229</v>
      </c>
      <c r="V7" s="617">
        <v>2671.3139466469379</v>
      </c>
      <c r="W7" s="628">
        <v>2941.4379855324282</v>
      </c>
      <c r="Y7" s="587" t="s">
        <v>376</v>
      </c>
      <c r="Z7" s="588">
        <v>10</v>
      </c>
      <c r="AA7" s="597">
        <v>541.17508505190767</v>
      </c>
      <c r="AB7" s="606">
        <v>587.97291704314011</v>
      </c>
      <c r="AC7" s="643">
        <v>569.83933675171795</v>
      </c>
      <c r="AD7" s="617">
        <v>576.764120282558</v>
      </c>
      <c r="AE7" s="597">
        <v>584.014687609627</v>
      </c>
      <c r="AF7" s="597">
        <v>677.77742735090033</v>
      </c>
      <c r="AG7" s="597">
        <v>723.06895011084237</v>
      </c>
      <c r="AH7" s="597">
        <v>704.18010851083352</v>
      </c>
      <c r="AI7" s="597">
        <v>703.24336962849986</v>
      </c>
      <c r="AJ7" s="597">
        <v>717.37936064836401</v>
      </c>
      <c r="AK7" s="597">
        <v>2198.7055433996297</v>
      </c>
      <c r="AL7" s="597">
        <v>1944.2108456708345</v>
      </c>
      <c r="AM7" s="597">
        <v>2544.4099536216213</v>
      </c>
      <c r="AN7" s="597">
        <v>1761.5021533749637</v>
      </c>
      <c r="AO7" s="597">
        <v>2125.2385266382385</v>
      </c>
      <c r="AP7" s="597">
        <v>2506.5545557851833</v>
      </c>
      <c r="AQ7" s="597">
        <v>2672.0274213579887</v>
      </c>
      <c r="AR7" s="653">
        <v>2701.0350181100225</v>
      </c>
      <c r="AS7" s="597">
        <v>2495.1841493010716</v>
      </c>
      <c r="AT7" s="598">
        <v>2721.871585746112</v>
      </c>
    </row>
    <row r="8" spans="2:46" x14ac:dyDescent="0.25">
      <c r="B8" s="587" t="s">
        <v>376</v>
      </c>
      <c r="C8" s="588">
        <v>15</v>
      </c>
      <c r="D8" s="597">
        <v>540.7574532822324</v>
      </c>
      <c r="E8" s="597">
        <v>590.6004697095068</v>
      </c>
      <c r="F8" s="637">
        <v>570.83703432089112</v>
      </c>
      <c r="G8" s="617">
        <v>580.09556777112653</v>
      </c>
      <c r="H8" s="617">
        <v>586.27122946880104</v>
      </c>
      <c r="I8" s="597">
        <v>663.13235821143553</v>
      </c>
      <c r="J8" s="597">
        <v>711.21364828616288</v>
      </c>
      <c r="K8" s="597">
        <v>690.75869304738558</v>
      </c>
      <c r="L8" s="597">
        <v>692.74004011322552</v>
      </c>
      <c r="M8" s="597">
        <v>705.2400523384299</v>
      </c>
      <c r="N8" s="597">
        <v>1883.2087577289972</v>
      </c>
      <c r="O8" s="597">
        <v>1555.1753336358277</v>
      </c>
      <c r="P8" s="597">
        <v>2195.0115278940129</v>
      </c>
      <c r="Q8" s="597">
        <v>1406.3424277608274</v>
      </c>
      <c r="R8" s="597">
        <v>1758.3871642637048</v>
      </c>
      <c r="S8" s="597">
        <v>2378.7865527985018</v>
      </c>
      <c r="T8" s="606">
        <v>2548.371111902437</v>
      </c>
      <c r="U8" s="643">
        <v>2562.3089228124968</v>
      </c>
      <c r="V8" s="617">
        <v>2342.2653067366186</v>
      </c>
      <c r="W8" s="628">
        <v>2571.0936974728129</v>
      </c>
      <c r="Y8" s="587" t="s">
        <v>376</v>
      </c>
      <c r="Z8" s="588">
        <v>15</v>
      </c>
      <c r="AA8" s="597">
        <v>427.02680489283898</v>
      </c>
      <c r="AB8" s="606">
        <v>465.25619532753166</v>
      </c>
      <c r="AC8" s="643">
        <v>450.21353211871201</v>
      </c>
      <c r="AD8" s="617">
        <v>456.39406710745232</v>
      </c>
      <c r="AE8" s="597">
        <v>461.8119929019901</v>
      </c>
      <c r="AF8" s="597">
        <v>534.81606456879331</v>
      </c>
      <c r="AG8" s="597">
        <v>572.1561298772549</v>
      </c>
      <c r="AH8" s="597">
        <v>556.3522794119292</v>
      </c>
      <c r="AI8" s="597">
        <v>556.47723279642184</v>
      </c>
      <c r="AJ8" s="597">
        <v>567.27065129776952</v>
      </c>
      <c r="AK8" s="597">
        <v>1796.4091418614962</v>
      </c>
      <c r="AL8" s="597">
        <v>1487.493453895476</v>
      </c>
      <c r="AM8" s="597">
        <v>2096.4410806702854</v>
      </c>
      <c r="AN8" s="597">
        <v>1347.7156631100322</v>
      </c>
      <c r="AO8" s="597">
        <v>1682.1188066764148</v>
      </c>
      <c r="AP8" s="597">
        <v>2163.8842643986331</v>
      </c>
      <c r="AQ8" s="597">
        <v>2342.8534423919718</v>
      </c>
      <c r="AR8" s="653">
        <v>2353.5661791166417</v>
      </c>
      <c r="AS8" s="597">
        <v>2187.8309264858053</v>
      </c>
      <c r="AT8" s="598">
        <v>2379.1719947396487</v>
      </c>
    </row>
    <row r="9" spans="2:46" x14ac:dyDescent="0.25">
      <c r="B9" s="587" t="s">
        <v>376</v>
      </c>
      <c r="C9" s="588">
        <v>20</v>
      </c>
      <c r="D9" s="597">
        <v>455.22833102670671</v>
      </c>
      <c r="E9" s="597">
        <v>509.72151236815887</v>
      </c>
      <c r="F9" s="637">
        <v>476.06860592613856</v>
      </c>
      <c r="G9" s="617">
        <v>500.66054874084796</v>
      </c>
      <c r="H9" s="617">
        <v>499.88666982304113</v>
      </c>
      <c r="I9" s="597">
        <v>558.24775940876464</v>
      </c>
      <c r="J9" s="597">
        <v>613.81748747949462</v>
      </c>
      <c r="K9" s="597">
        <v>576.08127759554395</v>
      </c>
      <c r="L9" s="597">
        <v>597.8801216331367</v>
      </c>
      <c r="M9" s="597">
        <v>601.32594517508335</v>
      </c>
      <c r="N9" s="597">
        <v>1673.3217227581472</v>
      </c>
      <c r="O9" s="597">
        <v>1472.5569425455344</v>
      </c>
      <c r="P9" s="597">
        <v>1938.0812711277331</v>
      </c>
      <c r="Q9" s="597">
        <v>1331.6511653904083</v>
      </c>
      <c r="R9" s="597">
        <v>1612.2338905162549</v>
      </c>
      <c r="S9" s="597">
        <v>2154.2856306502517</v>
      </c>
      <c r="T9" s="606">
        <v>2275.1864904938916</v>
      </c>
      <c r="U9" s="643">
        <v>2299.9912658308322</v>
      </c>
      <c r="V9" s="617">
        <v>2091.1939880066107</v>
      </c>
      <c r="W9" s="628">
        <v>2301.8002194178744</v>
      </c>
      <c r="Y9" s="587" t="s">
        <v>376</v>
      </c>
      <c r="Z9" s="588">
        <v>20</v>
      </c>
      <c r="AA9" s="597">
        <v>359.48593683751886</v>
      </c>
      <c r="AB9" s="606">
        <v>401.542334765921</v>
      </c>
      <c r="AC9" s="643">
        <v>375.47060845451887</v>
      </c>
      <c r="AD9" s="617">
        <v>393.89803469458212</v>
      </c>
      <c r="AE9" s="597">
        <v>393.7659697633224</v>
      </c>
      <c r="AF9" s="597">
        <v>450.22666447253675</v>
      </c>
      <c r="AG9" s="597">
        <v>493.80300692140236</v>
      </c>
      <c r="AH9" s="597">
        <v>463.98856090086275</v>
      </c>
      <c r="AI9" s="597">
        <v>480.27637550157544</v>
      </c>
      <c r="AJ9" s="597">
        <v>483.68574562753656</v>
      </c>
      <c r="AK9" s="597">
        <v>1596.1960816617745</v>
      </c>
      <c r="AL9" s="597">
        <v>1408.470649675148</v>
      </c>
      <c r="AM9" s="597">
        <v>1851.0486814473131</v>
      </c>
      <c r="AN9" s="597">
        <v>1276.1380855535128</v>
      </c>
      <c r="AO9" s="597">
        <v>1542.3047910691885</v>
      </c>
      <c r="AP9" s="597">
        <v>1959.6650114320003</v>
      </c>
      <c r="AQ9" s="597">
        <v>2091.7002537193239</v>
      </c>
      <c r="AR9" s="653">
        <v>2112.61866488034</v>
      </c>
      <c r="AS9" s="597">
        <v>1953.3136861496089</v>
      </c>
      <c r="AT9" s="598">
        <v>2129.9801811608199</v>
      </c>
    </row>
    <row r="10" spans="2:46" x14ac:dyDescent="0.25">
      <c r="B10" s="587" t="s">
        <v>376</v>
      </c>
      <c r="C10" s="588">
        <v>25</v>
      </c>
      <c r="D10" s="597">
        <v>408.74475204139759</v>
      </c>
      <c r="E10" s="597">
        <v>455.17298583633197</v>
      </c>
      <c r="F10" s="637">
        <v>426.11695874356923</v>
      </c>
      <c r="G10" s="617">
        <v>447.08537226486419</v>
      </c>
      <c r="H10" s="617">
        <v>446.88889268630396</v>
      </c>
      <c r="I10" s="597">
        <v>501.24481813899831</v>
      </c>
      <c r="J10" s="597">
        <v>548.12899152821774</v>
      </c>
      <c r="K10" s="597">
        <v>515.63576959789839</v>
      </c>
      <c r="L10" s="597">
        <v>533.90157747075625</v>
      </c>
      <c r="M10" s="597">
        <v>537.57361819223263</v>
      </c>
      <c r="N10" s="597">
        <v>1535.8310925047986</v>
      </c>
      <c r="O10" s="597">
        <v>1409.6622639518741</v>
      </c>
      <c r="P10" s="597">
        <v>1752.8192396235318</v>
      </c>
      <c r="Q10" s="597">
        <v>1274.7832299473312</v>
      </c>
      <c r="R10" s="597">
        <v>1506.1491174080554</v>
      </c>
      <c r="S10" s="597">
        <v>2022.5509087589433</v>
      </c>
      <c r="T10" s="606">
        <v>2092.9466419247069</v>
      </c>
      <c r="U10" s="643">
        <v>2132.2833916635595</v>
      </c>
      <c r="V10" s="617">
        <v>1923.7045821530596</v>
      </c>
      <c r="W10" s="628">
        <v>2125.8825562103807</v>
      </c>
      <c r="Y10" s="587" t="s">
        <v>376</v>
      </c>
      <c r="Z10" s="588">
        <v>25</v>
      </c>
      <c r="AA10" s="597">
        <v>322.77865875267952</v>
      </c>
      <c r="AB10" s="606">
        <v>358.57074700642659</v>
      </c>
      <c r="AC10" s="643">
        <v>336.07423757965665</v>
      </c>
      <c r="AD10" s="617">
        <v>351.74740633894385</v>
      </c>
      <c r="AE10" s="597">
        <v>352.01906517605812</v>
      </c>
      <c r="AF10" s="597">
        <v>404.25380801147082</v>
      </c>
      <c r="AG10" s="597">
        <v>440.95802045143239</v>
      </c>
      <c r="AH10" s="597">
        <v>415.30441621591825</v>
      </c>
      <c r="AI10" s="597">
        <v>428.88248868653591</v>
      </c>
      <c r="AJ10" s="597">
        <v>432.40558374592609</v>
      </c>
      <c r="AK10" s="597">
        <v>1465.0425788471084</v>
      </c>
      <c r="AL10" s="597">
        <v>1348.3131737497761</v>
      </c>
      <c r="AM10" s="597">
        <v>1674.1061330377936</v>
      </c>
      <c r="AN10" s="597">
        <v>1221.6408266978626</v>
      </c>
      <c r="AO10" s="597">
        <v>1440.8213432973068</v>
      </c>
      <c r="AP10" s="597">
        <v>1839.8313544608961</v>
      </c>
      <c r="AQ10" s="597">
        <v>1924.1574438957709</v>
      </c>
      <c r="AR10" s="653">
        <v>1958.5733906757021</v>
      </c>
      <c r="AS10" s="597">
        <v>1796.8674881330078</v>
      </c>
      <c r="AT10" s="598">
        <v>1967.1940570710206</v>
      </c>
    </row>
    <row r="11" spans="2:46" x14ac:dyDescent="0.25">
      <c r="B11" s="587" t="s">
        <v>376</v>
      </c>
      <c r="C11" s="588">
        <v>30</v>
      </c>
      <c r="D11" s="597">
        <v>386.60806507964679</v>
      </c>
      <c r="E11" s="597">
        <v>406.37342559464548</v>
      </c>
      <c r="F11" s="637">
        <v>397.16527948917314</v>
      </c>
      <c r="G11" s="617">
        <v>399.15436577793679</v>
      </c>
      <c r="H11" s="617">
        <v>405.98483389416077</v>
      </c>
      <c r="I11" s="597">
        <v>474.09853778940027</v>
      </c>
      <c r="J11" s="597">
        <v>489.36352306978381</v>
      </c>
      <c r="K11" s="597">
        <v>480.60191068388178</v>
      </c>
      <c r="L11" s="597">
        <v>476.66320296636468</v>
      </c>
      <c r="M11" s="597">
        <v>488.36912185431294</v>
      </c>
      <c r="N11" s="597">
        <v>1511.9353275625349</v>
      </c>
      <c r="O11" s="597">
        <v>1398.5779090925491</v>
      </c>
      <c r="P11" s="597">
        <v>1707.1607088482656</v>
      </c>
      <c r="Q11" s="597">
        <v>1264.7704618029395</v>
      </c>
      <c r="R11" s="597">
        <v>1483.5280959171573</v>
      </c>
      <c r="S11" s="597">
        <v>2001.6381009404347</v>
      </c>
      <c r="T11" s="606">
        <v>2032.8473518955227</v>
      </c>
      <c r="U11" s="643">
        <v>2086.0995365443382</v>
      </c>
      <c r="V11" s="617">
        <v>1868.4760395251785</v>
      </c>
      <c r="W11" s="628">
        <v>2072.535620084634</v>
      </c>
      <c r="Y11" s="587" t="s">
        <v>376</v>
      </c>
      <c r="Z11" s="588">
        <v>30</v>
      </c>
      <c r="AA11" s="597">
        <v>305.29770005888281</v>
      </c>
      <c r="AB11" s="606">
        <v>320.12801135660385</v>
      </c>
      <c r="AC11" s="643">
        <v>313.2403340411513</v>
      </c>
      <c r="AD11" s="617">
        <v>314.03736646538749</v>
      </c>
      <c r="AE11" s="597">
        <v>319.79850929837107</v>
      </c>
      <c r="AF11" s="597">
        <v>382.36034037340977</v>
      </c>
      <c r="AG11" s="597">
        <v>393.68246115272655</v>
      </c>
      <c r="AH11" s="597">
        <v>387.08737391215669</v>
      </c>
      <c r="AI11" s="597">
        <v>382.90297197091047</v>
      </c>
      <c r="AJ11" s="597">
        <v>392.82719254162743</v>
      </c>
      <c r="AK11" s="597">
        <v>1442.2482017405459</v>
      </c>
      <c r="AL11" s="597">
        <v>1337.7112146411826</v>
      </c>
      <c r="AM11" s="597">
        <v>1630.4979704455204</v>
      </c>
      <c r="AN11" s="597">
        <v>1212.0454648621458</v>
      </c>
      <c r="AO11" s="597">
        <v>1419.1814869281297</v>
      </c>
      <c r="AP11" s="597">
        <v>1820.8078335360669</v>
      </c>
      <c r="AQ11" s="597">
        <v>1868.9049620760909</v>
      </c>
      <c r="AR11" s="653">
        <v>1916.1519798684085</v>
      </c>
      <c r="AS11" s="597">
        <v>1745.2803714906297</v>
      </c>
      <c r="AT11" s="598">
        <v>1917.8292530732917</v>
      </c>
    </row>
    <row r="12" spans="2:46" ht="15" customHeight="1" x14ac:dyDescent="0.25">
      <c r="B12" s="587" t="s">
        <v>376</v>
      </c>
      <c r="C12" s="588">
        <v>35</v>
      </c>
      <c r="D12" s="597">
        <v>386.03678933676275</v>
      </c>
      <c r="E12" s="597">
        <v>385.41153789367087</v>
      </c>
      <c r="F12" s="637">
        <v>388.66251667976923</v>
      </c>
      <c r="G12" s="617">
        <v>377.10990051757204</v>
      </c>
      <c r="H12" s="617">
        <v>389.73786751327549</v>
      </c>
      <c r="I12" s="597">
        <v>473.39798076837661</v>
      </c>
      <c r="J12" s="597">
        <v>464.12077201997886</v>
      </c>
      <c r="K12" s="597">
        <v>470.31288426760665</v>
      </c>
      <c r="L12" s="597">
        <v>450.33808586985754</v>
      </c>
      <c r="M12" s="597">
        <v>468.82524720234005</v>
      </c>
      <c r="N12" s="597">
        <v>1341.3431893881259</v>
      </c>
      <c r="O12" s="597">
        <v>1232.649678737879</v>
      </c>
      <c r="P12" s="597">
        <v>1464.1971171356336</v>
      </c>
      <c r="Q12" s="597">
        <v>1114.7159159702321</v>
      </c>
      <c r="R12" s="597">
        <v>1296.0171515986326</v>
      </c>
      <c r="S12" s="597">
        <v>1779.6830369517245</v>
      </c>
      <c r="T12" s="606">
        <v>1714.5829394679679</v>
      </c>
      <c r="U12" s="643">
        <v>1796.4658358088398</v>
      </c>
      <c r="V12" s="617">
        <v>1575.9425167477916</v>
      </c>
      <c r="W12" s="628">
        <v>1766.9671251725479</v>
      </c>
      <c r="Y12" s="587" t="s">
        <v>376</v>
      </c>
      <c r="Z12" s="588">
        <v>35</v>
      </c>
      <c r="AA12" s="597">
        <v>304.84657348870633</v>
      </c>
      <c r="AB12" s="606">
        <v>303.61490542657407</v>
      </c>
      <c r="AC12" s="643">
        <v>306.53428897569142</v>
      </c>
      <c r="AD12" s="617">
        <v>296.69373600800685</v>
      </c>
      <c r="AE12" s="597">
        <v>307.0006035751677</v>
      </c>
      <c r="AF12" s="597">
        <v>381.79534132857287</v>
      </c>
      <c r="AG12" s="597">
        <v>373.37520919979409</v>
      </c>
      <c r="AH12" s="597">
        <v>378.80036521108553</v>
      </c>
      <c r="AI12" s="597">
        <v>361.75603738270382</v>
      </c>
      <c r="AJ12" s="597">
        <v>377.10677725048583</v>
      </c>
      <c r="AK12" s="597">
        <v>1279.5188838736481</v>
      </c>
      <c r="AL12" s="597">
        <v>1179.0042501396292</v>
      </c>
      <c r="AM12" s="597">
        <v>1398.4450412008778</v>
      </c>
      <c r="AN12" s="597">
        <v>1068.246303471848</v>
      </c>
      <c r="AO12" s="597">
        <v>1239.8036500636761</v>
      </c>
      <c r="AP12" s="597">
        <v>1618.904443001202</v>
      </c>
      <c r="AQ12" s="597">
        <v>1576.3075178639301</v>
      </c>
      <c r="AR12" s="653">
        <v>1650.1137686619206</v>
      </c>
      <c r="AS12" s="597">
        <v>1472.0346865012075</v>
      </c>
      <c r="AT12" s="598">
        <v>1635.0702053247928</v>
      </c>
    </row>
    <row r="13" spans="2:46" ht="15" customHeight="1" x14ac:dyDescent="0.25">
      <c r="B13" s="587" t="s">
        <v>376</v>
      </c>
      <c r="C13" s="588">
        <v>40</v>
      </c>
      <c r="D13" s="597">
        <v>384.1581327104505</v>
      </c>
      <c r="E13" s="597">
        <v>373.01534284452839</v>
      </c>
      <c r="F13" s="637">
        <v>382.2860812431698</v>
      </c>
      <c r="G13" s="617">
        <v>363.51499613543064</v>
      </c>
      <c r="H13" s="617">
        <v>379.33403570011819</v>
      </c>
      <c r="I13" s="597">
        <v>471.09417895979436</v>
      </c>
      <c r="J13" s="597">
        <v>449.19301026234945</v>
      </c>
      <c r="K13" s="597">
        <v>462.59688487782211</v>
      </c>
      <c r="L13" s="597">
        <v>434.10328744999475</v>
      </c>
      <c r="M13" s="597">
        <v>456.31022254544331</v>
      </c>
      <c r="N13" s="597">
        <v>1322.6170364613583</v>
      </c>
      <c r="O13" s="597">
        <v>1178.3179429015149</v>
      </c>
      <c r="P13" s="597">
        <v>1412.4536253112312</v>
      </c>
      <c r="Q13" s="597">
        <v>1065.5859785524551</v>
      </c>
      <c r="R13" s="597">
        <v>1246.4786233082484</v>
      </c>
      <c r="S13" s="597">
        <v>1766.2442982709672</v>
      </c>
      <c r="T13" s="606">
        <v>1655.382648624766</v>
      </c>
      <c r="U13" s="643">
        <v>1753.8589986136062</v>
      </c>
      <c r="V13" s="617">
        <v>1521.5349184468271</v>
      </c>
      <c r="W13" s="628">
        <v>1715.8940942934528</v>
      </c>
      <c r="Y13" s="587" t="s">
        <v>376</v>
      </c>
      <c r="Z13" s="588">
        <v>40</v>
      </c>
      <c r="AA13" s="597">
        <v>303.36303085465568</v>
      </c>
      <c r="AB13" s="606">
        <v>293.84957871097089</v>
      </c>
      <c r="AC13" s="643">
        <v>301.50525731229624</v>
      </c>
      <c r="AD13" s="617">
        <v>285.99785407472086</v>
      </c>
      <c r="AE13" s="597">
        <v>298.80539620023887</v>
      </c>
      <c r="AF13" s="597">
        <v>379.93732580338332</v>
      </c>
      <c r="AG13" s="597">
        <v>361.36614495368957</v>
      </c>
      <c r="AH13" s="597">
        <v>372.58572920048493</v>
      </c>
      <c r="AI13" s="597">
        <v>348.71464353138782</v>
      </c>
      <c r="AJ13" s="597">
        <v>367.04012524371819</v>
      </c>
      <c r="AK13" s="597">
        <v>1261.6558444355196</v>
      </c>
      <c r="AL13" s="597">
        <v>1127.0370541280861</v>
      </c>
      <c r="AM13" s="597">
        <v>1349.0251723120423</v>
      </c>
      <c r="AN13" s="597">
        <v>1021.1644655933039</v>
      </c>
      <c r="AO13" s="597">
        <v>1192.4138079482057</v>
      </c>
      <c r="AP13" s="597">
        <v>1606.6797752896557</v>
      </c>
      <c r="AQ13" s="597">
        <v>1521.8815339305856</v>
      </c>
      <c r="AR13" s="653">
        <v>1610.9779680841505</v>
      </c>
      <c r="AS13" s="597">
        <v>1421.2143862319297</v>
      </c>
      <c r="AT13" s="598">
        <v>1587.8095687818875</v>
      </c>
    </row>
    <row r="14" spans="2:46" ht="15" customHeight="1" x14ac:dyDescent="0.25">
      <c r="B14" s="587" t="s">
        <v>376</v>
      </c>
      <c r="C14" s="588">
        <v>45</v>
      </c>
      <c r="D14" s="597">
        <v>380.3987938145836</v>
      </c>
      <c r="E14" s="597">
        <v>363.37391765157395</v>
      </c>
      <c r="F14" s="637">
        <v>376.39948979972877</v>
      </c>
      <c r="G14" s="617">
        <v>353.46669109096968</v>
      </c>
      <c r="H14" s="617">
        <v>370.99530213013219</v>
      </c>
      <c r="I14" s="597">
        <v>466.48409129072786</v>
      </c>
      <c r="J14" s="597">
        <v>437.58260096224859</v>
      </c>
      <c r="K14" s="597">
        <v>455.47363609139262</v>
      </c>
      <c r="L14" s="597">
        <v>422.10377628959202</v>
      </c>
      <c r="M14" s="597">
        <v>446.27935525444292</v>
      </c>
      <c r="N14" s="597">
        <v>1302.8471808080089</v>
      </c>
      <c r="O14" s="597">
        <v>1136.002786095843</v>
      </c>
      <c r="P14" s="597">
        <v>1369.2498928755529</v>
      </c>
      <c r="Q14" s="597">
        <v>1027.3223444040846</v>
      </c>
      <c r="R14" s="597">
        <v>1206.5388947978299</v>
      </c>
      <c r="S14" s="597">
        <v>1751.5108068467844</v>
      </c>
      <c r="T14" s="606">
        <v>1608.6594102569825</v>
      </c>
      <c r="U14" s="643">
        <v>1718.5637092360416</v>
      </c>
      <c r="V14" s="617">
        <v>1478.594855335999</v>
      </c>
      <c r="W14" s="628">
        <v>1674.7319619238738</v>
      </c>
      <c r="Y14" s="587" t="s">
        <v>376</v>
      </c>
      <c r="Z14" s="588">
        <v>45</v>
      </c>
      <c r="AA14" s="597">
        <v>300.39434597113251</v>
      </c>
      <c r="AB14" s="606">
        <v>286.25437174302635</v>
      </c>
      <c r="AC14" s="643">
        <v>296.86256076923775</v>
      </c>
      <c r="AD14" s="617">
        <v>278.09228288685892</v>
      </c>
      <c r="AE14" s="597">
        <v>292.23688835835969</v>
      </c>
      <c r="AF14" s="597">
        <v>376.2192913658281</v>
      </c>
      <c r="AG14" s="597">
        <v>352.02581962747513</v>
      </c>
      <c r="AH14" s="597">
        <v>366.84850759323342</v>
      </c>
      <c r="AI14" s="597">
        <v>339.07545079126663</v>
      </c>
      <c r="AJ14" s="597">
        <v>358.9716433099714</v>
      </c>
      <c r="AK14" s="597">
        <v>1242.7972079284409</v>
      </c>
      <c r="AL14" s="597">
        <v>1086.5634706114017</v>
      </c>
      <c r="AM14" s="597">
        <v>1307.7615714764952</v>
      </c>
      <c r="AN14" s="597">
        <v>984.4959430120872</v>
      </c>
      <c r="AO14" s="597">
        <v>1154.206426874051</v>
      </c>
      <c r="AP14" s="597">
        <v>1593.2773242732185</v>
      </c>
      <c r="AQ14" s="597">
        <v>1478.9263696146857</v>
      </c>
      <c r="AR14" s="653">
        <v>1578.5580679614166</v>
      </c>
      <c r="AS14" s="597">
        <v>1381.1055233337245</v>
      </c>
      <c r="AT14" s="598">
        <v>1549.720022425126</v>
      </c>
    </row>
    <row r="15" spans="2:46" ht="15" customHeight="1" x14ac:dyDescent="0.25">
      <c r="B15" s="587" t="s">
        <v>376</v>
      </c>
      <c r="C15" s="588">
        <v>50</v>
      </c>
      <c r="D15" s="597">
        <v>370.99683496013654</v>
      </c>
      <c r="E15" s="597">
        <v>356.30699695985714</v>
      </c>
      <c r="F15" s="637">
        <v>366.96203081634803</v>
      </c>
      <c r="G15" s="617">
        <v>346.31904507859485</v>
      </c>
      <c r="H15" s="617">
        <v>362.83437865497569</v>
      </c>
      <c r="I15" s="597">
        <v>454.95444318488416</v>
      </c>
      <c r="J15" s="597">
        <v>429.07246474482054</v>
      </c>
      <c r="K15" s="597">
        <v>444.05355217759433</v>
      </c>
      <c r="L15" s="597">
        <v>413.56818170756065</v>
      </c>
      <c r="M15" s="597">
        <v>436.46238009097794</v>
      </c>
      <c r="N15" s="597">
        <v>1276.8392364546189</v>
      </c>
      <c r="O15" s="597">
        <v>1185.677384217418</v>
      </c>
      <c r="P15" s="597">
        <v>1324.8824012343387</v>
      </c>
      <c r="Q15" s="597">
        <v>1072.249865388887</v>
      </c>
      <c r="R15" s="597">
        <v>1219.9882921030317</v>
      </c>
      <c r="S15" s="597">
        <v>1697.8346891341373</v>
      </c>
      <c r="T15" s="606">
        <v>1526.4063000507724</v>
      </c>
      <c r="U15" s="643">
        <v>1645.2027211589193</v>
      </c>
      <c r="V15" s="617">
        <v>1402.992769755876</v>
      </c>
      <c r="W15" s="628">
        <v>1596.523729035654</v>
      </c>
      <c r="Y15" s="587" t="s">
        <v>376</v>
      </c>
      <c r="Z15" s="588">
        <v>50</v>
      </c>
      <c r="AA15" s="597">
        <v>292.96978173261982</v>
      </c>
      <c r="AB15" s="606">
        <v>280.68727723101762</v>
      </c>
      <c r="AC15" s="643">
        <v>289.41933006121604</v>
      </c>
      <c r="AD15" s="617">
        <v>272.46882458951995</v>
      </c>
      <c r="AE15" s="597">
        <v>285.80844339202991</v>
      </c>
      <c r="AF15" s="597">
        <v>366.92063333855043</v>
      </c>
      <c r="AG15" s="597">
        <v>345.17959751879482</v>
      </c>
      <c r="AH15" s="597">
        <v>357.6505202490751</v>
      </c>
      <c r="AI15" s="597">
        <v>332.21881803115559</v>
      </c>
      <c r="AJ15" s="597">
        <v>351.07520878914755</v>
      </c>
      <c r="AK15" s="597">
        <v>1217.9880045909431</v>
      </c>
      <c r="AL15" s="597">
        <v>1134.076209485663</v>
      </c>
      <c r="AM15" s="597">
        <v>1265.3864718740897</v>
      </c>
      <c r="AN15" s="597">
        <v>1027.5505522883852</v>
      </c>
      <c r="AO15" s="597">
        <v>1167.0724694642884</v>
      </c>
      <c r="AP15" s="597">
        <v>1544.4503682120435</v>
      </c>
      <c r="AQ15" s="597">
        <v>1403.3066996639443</v>
      </c>
      <c r="AR15" s="653">
        <v>1511.1735543816196</v>
      </c>
      <c r="AS15" s="597">
        <v>1310.4881682188716</v>
      </c>
      <c r="AT15" s="598">
        <v>1477.3497165009887</v>
      </c>
    </row>
    <row r="16" spans="2:46" ht="15" customHeight="1" x14ac:dyDescent="0.25">
      <c r="B16" s="587" t="s">
        <v>376</v>
      </c>
      <c r="C16" s="588">
        <v>55</v>
      </c>
      <c r="D16" s="597">
        <v>361.61966001880211</v>
      </c>
      <c r="E16" s="597">
        <v>353.10294568008982</v>
      </c>
      <c r="F16" s="637">
        <v>357.98962433789046</v>
      </c>
      <c r="G16" s="617">
        <v>342.80336721513203</v>
      </c>
      <c r="H16" s="617">
        <v>357.12830938357632</v>
      </c>
      <c r="I16" s="597">
        <v>443.45518766012896</v>
      </c>
      <c r="J16" s="597">
        <v>425.21407804035317</v>
      </c>
      <c r="K16" s="597">
        <v>433.19621917374928</v>
      </c>
      <c r="L16" s="597">
        <v>409.36982033493706</v>
      </c>
      <c r="M16" s="597">
        <v>429.59840930521295</v>
      </c>
      <c r="N16" s="597">
        <v>1251.529800969935</v>
      </c>
      <c r="O16" s="597">
        <v>1226.3194860754918</v>
      </c>
      <c r="P16" s="597">
        <v>1286.7967991420862</v>
      </c>
      <c r="Q16" s="597">
        <v>1109.0106632024683</v>
      </c>
      <c r="R16" s="597">
        <v>1230.0816537843268</v>
      </c>
      <c r="S16" s="597">
        <v>1631.9329720518811</v>
      </c>
      <c r="T16" s="606">
        <v>1439.3374232672252</v>
      </c>
      <c r="U16" s="643">
        <v>1563.8720306505395</v>
      </c>
      <c r="V16" s="617">
        <v>1322.9649387644845</v>
      </c>
      <c r="W16" s="628">
        <v>1511.8574678634563</v>
      </c>
      <c r="Y16" s="587" t="s">
        <v>376</v>
      </c>
      <c r="Z16" s="588">
        <v>55</v>
      </c>
      <c r="AA16" s="597">
        <v>285.56478892149107</v>
      </c>
      <c r="AB16" s="606">
        <v>278.16322792101266</v>
      </c>
      <c r="AC16" s="643">
        <v>282.34288167156859</v>
      </c>
      <c r="AD16" s="617">
        <v>269.70284152071207</v>
      </c>
      <c r="AE16" s="597">
        <v>281.31371281442796</v>
      </c>
      <c r="AF16" s="597">
        <v>357.6464869195641</v>
      </c>
      <c r="AG16" s="597">
        <v>342.07560814834665</v>
      </c>
      <c r="AH16" s="597">
        <v>348.90578489384563</v>
      </c>
      <c r="AI16" s="597">
        <v>328.84627944000522</v>
      </c>
      <c r="AJ16" s="597">
        <v>345.55406862528565</v>
      </c>
      <c r="AK16" s="597">
        <v>1193.8451149121224</v>
      </c>
      <c r="AL16" s="597">
        <v>1172.9495501044992</v>
      </c>
      <c r="AM16" s="597">
        <v>1229.011163683856</v>
      </c>
      <c r="AN16" s="597">
        <v>1062.778887879929</v>
      </c>
      <c r="AO16" s="597">
        <v>1176.7280412585712</v>
      </c>
      <c r="AP16" s="597">
        <v>1484.5022873624275</v>
      </c>
      <c r="AQ16" s="597">
        <v>1323.2596387218466</v>
      </c>
      <c r="AR16" s="653">
        <v>1436.4686033897544</v>
      </c>
      <c r="AS16" s="597">
        <v>1235.7368737694449</v>
      </c>
      <c r="AT16" s="598">
        <v>1399.0034478767836</v>
      </c>
    </row>
    <row r="17" spans="2:46" ht="15" customHeight="1" x14ac:dyDescent="0.25">
      <c r="B17" s="587" t="s">
        <v>376</v>
      </c>
      <c r="C17" s="588">
        <v>60</v>
      </c>
      <c r="D17" s="597">
        <v>353.91872054239474</v>
      </c>
      <c r="E17" s="597">
        <v>350.43385061718845</v>
      </c>
      <c r="F17" s="637">
        <v>352.29672992161534</v>
      </c>
      <c r="G17" s="617">
        <v>342.6534753078073</v>
      </c>
      <c r="H17" s="617">
        <v>354.17291713067465</v>
      </c>
      <c r="I17" s="597">
        <v>434.01150431478214</v>
      </c>
      <c r="J17" s="597">
        <v>421.99989699128918</v>
      </c>
      <c r="K17" s="597">
        <v>426.30735935875629</v>
      </c>
      <c r="L17" s="597">
        <v>409.19082202558656</v>
      </c>
      <c r="M17" s="597">
        <v>426.04329542216351</v>
      </c>
      <c r="N17" s="597">
        <v>1230.5289547328514</v>
      </c>
      <c r="O17" s="597">
        <v>1202.1010807015116</v>
      </c>
      <c r="P17" s="597">
        <v>1259.4164802066184</v>
      </c>
      <c r="Q17" s="597">
        <v>1087.1107596433505</v>
      </c>
      <c r="R17" s="597">
        <v>1205.5302079429011</v>
      </c>
      <c r="S17" s="597">
        <v>1593.9385632755379</v>
      </c>
      <c r="T17" s="606">
        <v>1397.554117416438</v>
      </c>
      <c r="U17" s="643">
        <v>1522.2694419714612</v>
      </c>
      <c r="V17" s="617">
        <v>1284.5621485585848</v>
      </c>
      <c r="W17" s="628">
        <v>1469.9112169668822</v>
      </c>
      <c r="Y17" s="587" t="s">
        <v>376</v>
      </c>
      <c r="Z17" s="588">
        <v>60</v>
      </c>
      <c r="AA17" s="597">
        <v>279.4834902554752</v>
      </c>
      <c r="AB17" s="606">
        <v>276.06060004036817</v>
      </c>
      <c r="AC17" s="643">
        <v>277.85295206113386</v>
      </c>
      <c r="AD17" s="617">
        <v>269.58491306028048</v>
      </c>
      <c r="AE17" s="597">
        <v>278.98571935761743</v>
      </c>
      <c r="AF17" s="597">
        <v>350.03015889808961</v>
      </c>
      <c r="AG17" s="597">
        <v>339.48986841431764</v>
      </c>
      <c r="AH17" s="597">
        <v>343.35734533138083</v>
      </c>
      <c r="AI17" s="597">
        <v>328.70249031552157</v>
      </c>
      <c r="AJ17" s="597">
        <v>342.6944582540537</v>
      </c>
      <c r="AK17" s="597">
        <v>1173.8122258273145</v>
      </c>
      <c r="AL17" s="597">
        <v>1149.7851398425639</v>
      </c>
      <c r="AM17" s="597">
        <v>1202.8604010620111</v>
      </c>
      <c r="AN17" s="597">
        <v>1041.7919344434065</v>
      </c>
      <c r="AO17" s="597">
        <v>1153.241490844486</v>
      </c>
      <c r="AP17" s="597">
        <v>1449.940336779036</v>
      </c>
      <c r="AQ17" s="597">
        <v>1284.8460177661632</v>
      </c>
      <c r="AR17" s="653">
        <v>1398.255238558123</v>
      </c>
      <c r="AS17" s="597">
        <v>1199.8661242714413</v>
      </c>
      <c r="AT17" s="598">
        <v>1360.1883142565871</v>
      </c>
    </row>
    <row r="18" spans="2:46" ht="15" customHeight="1" x14ac:dyDescent="0.25">
      <c r="B18" s="587" t="s">
        <v>376</v>
      </c>
      <c r="C18" s="588">
        <v>65</v>
      </c>
      <c r="D18" s="597">
        <v>355.01555117603834</v>
      </c>
      <c r="E18" s="597">
        <v>352.48842835659383</v>
      </c>
      <c r="F18" s="637">
        <v>356.90153308698683</v>
      </c>
      <c r="G18" s="617">
        <v>346.23547729776334</v>
      </c>
      <c r="H18" s="617">
        <v>357.65241531714747</v>
      </c>
      <c r="I18" s="597">
        <v>435.35655074961517</v>
      </c>
      <c r="J18" s="597">
        <v>424.47406320800206</v>
      </c>
      <c r="K18" s="597">
        <v>431.87954130388283</v>
      </c>
      <c r="L18" s="597">
        <v>413.46838651679946</v>
      </c>
      <c r="M18" s="597">
        <v>430.22886919722822</v>
      </c>
      <c r="N18" s="597">
        <v>1293.3654573331755</v>
      </c>
      <c r="O18" s="597">
        <v>1299.4911161168682</v>
      </c>
      <c r="P18" s="597">
        <v>1345.1440792467938</v>
      </c>
      <c r="Q18" s="597">
        <v>1175.1897262883399</v>
      </c>
      <c r="R18" s="597">
        <v>1294.8700935640854</v>
      </c>
      <c r="S18" s="597">
        <v>1642.2332057191782</v>
      </c>
      <c r="T18" s="606">
        <v>1471.418734210393</v>
      </c>
      <c r="U18" s="643">
        <v>1588.1945571557933</v>
      </c>
      <c r="V18" s="617">
        <v>1352.459573245105</v>
      </c>
      <c r="W18" s="628">
        <v>1540.1678309171145</v>
      </c>
      <c r="Y18" s="587" t="s">
        <v>376</v>
      </c>
      <c r="Z18" s="588">
        <v>65</v>
      </c>
      <c r="AA18" s="597">
        <v>280.34963842994881</v>
      </c>
      <c r="AB18" s="606">
        <v>277.6791307918092</v>
      </c>
      <c r="AC18" s="643">
        <v>281.48471484656642</v>
      </c>
      <c r="AD18" s="617">
        <v>272.4030770791237</v>
      </c>
      <c r="AE18" s="597">
        <v>281.72655655211838</v>
      </c>
      <c r="AF18" s="597">
        <v>351.11493847796089</v>
      </c>
      <c r="AG18" s="597">
        <v>341.48028208345733</v>
      </c>
      <c r="AH18" s="597">
        <v>347.84530351080326</v>
      </c>
      <c r="AI18" s="597">
        <v>332.13865267563193</v>
      </c>
      <c r="AJ18" s="597">
        <v>346.0611887078374</v>
      </c>
      <c r="AK18" s="597">
        <v>1233.7525097977173</v>
      </c>
      <c r="AL18" s="597">
        <v>1242.9367202603862</v>
      </c>
      <c r="AM18" s="597">
        <v>1284.7382673470634</v>
      </c>
      <c r="AN18" s="597">
        <v>1126.1991176406032</v>
      </c>
      <c r="AO18" s="597">
        <v>1238.7063445717602</v>
      </c>
      <c r="AP18" s="597">
        <v>1493.871986180538</v>
      </c>
      <c r="AQ18" s="597">
        <v>1352.7536984483115</v>
      </c>
      <c r="AR18" s="653">
        <v>1458.8096549560892</v>
      </c>
      <c r="AS18" s="597">
        <v>1263.2868158261806</v>
      </c>
      <c r="AT18" s="598">
        <v>1425.2005573031652</v>
      </c>
    </row>
    <row r="19" spans="2:46" ht="15" customHeight="1" x14ac:dyDescent="0.25">
      <c r="B19" s="587" t="s">
        <v>376</v>
      </c>
      <c r="C19" s="588">
        <v>70</v>
      </c>
      <c r="D19" s="597">
        <v>362.64196786019261</v>
      </c>
      <c r="E19" s="597">
        <v>365.18974285049109</v>
      </c>
      <c r="F19" s="637">
        <v>369.37104276488361</v>
      </c>
      <c r="G19" s="617">
        <v>358.7124366518716</v>
      </c>
      <c r="H19" s="617">
        <v>369.98246095329279</v>
      </c>
      <c r="I19" s="597">
        <v>444.70884658903412</v>
      </c>
      <c r="J19" s="597">
        <v>439.76925629120046</v>
      </c>
      <c r="K19" s="597">
        <v>446.968650261736</v>
      </c>
      <c r="L19" s="597">
        <v>428.36815442343209</v>
      </c>
      <c r="M19" s="597">
        <v>445.06098374197433</v>
      </c>
      <c r="N19" s="597">
        <v>1352.8869587019719</v>
      </c>
      <c r="O19" s="597">
        <v>1392.8637270383024</v>
      </c>
      <c r="P19" s="597">
        <v>1427.0140718368989</v>
      </c>
      <c r="Q19" s="597">
        <v>1259.6339807277404</v>
      </c>
      <c r="R19" s="597">
        <v>1380.360169023144</v>
      </c>
      <c r="S19" s="597">
        <v>1683.7593511890675</v>
      </c>
      <c r="T19" s="606">
        <v>1537.1452409223216</v>
      </c>
      <c r="U19" s="643">
        <v>1646.2673119023555</v>
      </c>
      <c r="V19" s="617">
        <v>1412.8766006429578</v>
      </c>
      <c r="W19" s="628">
        <v>1602.383437458873</v>
      </c>
      <c r="Y19" s="587" t="s">
        <v>376</v>
      </c>
      <c r="Z19" s="588">
        <v>70</v>
      </c>
      <c r="AA19" s="597">
        <v>286.37208773628527</v>
      </c>
      <c r="AB19" s="606">
        <v>287.68482086516059</v>
      </c>
      <c r="AC19" s="643">
        <v>291.31929399673169</v>
      </c>
      <c r="AD19" s="617">
        <v>282.21940828578198</v>
      </c>
      <c r="AE19" s="597">
        <v>291.43906274649538</v>
      </c>
      <c r="AF19" s="597">
        <v>358.65756250103175</v>
      </c>
      <c r="AG19" s="597">
        <v>353.78493695235125</v>
      </c>
      <c r="AH19" s="597">
        <v>359.99840451046123</v>
      </c>
      <c r="AI19" s="597">
        <v>344.10761813724531</v>
      </c>
      <c r="AJ19" s="597">
        <v>357.99162749959737</v>
      </c>
      <c r="AK19" s="597">
        <v>1290.5305853867299</v>
      </c>
      <c r="AL19" s="597">
        <v>1332.245716175368</v>
      </c>
      <c r="AM19" s="597">
        <v>1362.9317590708827</v>
      </c>
      <c r="AN19" s="597">
        <v>1207.1231103475798</v>
      </c>
      <c r="AO19" s="597">
        <v>1320.4883699621034</v>
      </c>
      <c r="AP19" s="597">
        <v>1531.6466123392865</v>
      </c>
      <c r="AQ19" s="597">
        <v>1413.1795806077916</v>
      </c>
      <c r="AR19" s="653">
        <v>1512.1514164754697</v>
      </c>
      <c r="AS19" s="597">
        <v>1319.7203208809628</v>
      </c>
      <c r="AT19" s="598">
        <v>1482.7720214879932</v>
      </c>
    </row>
    <row r="20" spans="2:46" ht="15" customHeight="1" thickBot="1" x14ac:dyDescent="0.3">
      <c r="B20" s="591" t="s">
        <v>376</v>
      </c>
      <c r="C20" s="592">
        <v>75</v>
      </c>
      <c r="D20" s="599">
        <v>374.59510083515528</v>
      </c>
      <c r="E20" s="599">
        <v>385.69623154265014</v>
      </c>
      <c r="F20" s="638">
        <v>387.01286285674581</v>
      </c>
      <c r="G20" s="618">
        <v>378.85565820825002</v>
      </c>
      <c r="H20" s="618">
        <v>389.08878660254624</v>
      </c>
      <c r="I20" s="599">
        <v>459.36700656369641</v>
      </c>
      <c r="J20" s="599">
        <v>464.46360616779793</v>
      </c>
      <c r="K20" s="599">
        <v>468.31667054939913</v>
      </c>
      <c r="L20" s="599">
        <v>452.42283934817647</v>
      </c>
      <c r="M20" s="599">
        <v>468.04445184270878</v>
      </c>
      <c r="N20" s="599">
        <v>1350.8397950458316</v>
      </c>
      <c r="O20" s="599">
        <v>1397.3210310666825</v>
      </c>
      <c r="P20" s="599">
        <v>1428.7657334802916</v>
      </c>
      <c r="Q20" s="599">
        <v>1263.6668998978264</v>
      </c>
      <c r="R20" s="599">
        <v>1383.3390228609596</v>
      </c>
      <c r="S20" s="599">
        <v>1642.8440850526804</v>
      </c>
      <c r="T20" s="607">
        <v>1495.1651698424082</v>
      </c>
      <c r="U20" s="644">
        <v>1603.3588550742197</v>
      </c>
      <c r="V20" s="617">
        <v>1374.2911102843188</v>
      </c>
      <c r="W20" s="629">
        <v>1559.6712112833222</v>
      </c>
      <c r="Y20" s="591" t="s">
        <v>376</v>
      </c>
      <c r="Z20" s="592">
        <v>75</v>
      </c>
      <c r="AA20" s="599">
        <v>295.81127003839867</v>
      </c>
      <c r="AB20" s="607">
        <v>303.83917799449659</v>
      </c>
      <c r="AC20" s="644">
        <v>305.23322329532596</v>
      </c>
      <c r="AD20" s="618">
        <v>298.06722254522339</v>
      </c>
      <c r="AE20" s="599">
        <v>306.4893157379492</v>
      </c>
      <c r="AF20" s="599">
        <v>370.47936449032494</v>
      </c>
      <c r="AG20" s="599">
        <v>373.65101192050764</v>
      </c>
      <c r="AH20" s="599">
        <v>377.19257067516952</v>
      </c>
      <c r="AI20" s="599">
        <v>363.43071731962215</v>
      </c>
      <c r="AJ20" s="599">
        <v>376.4787325290896</v>
      </c>
      <c r="AK20" s="599">
        <v>1288.5777782474875</v>
      </c>
      <c r="AL20" s="599">
        <v>1336.5090364716953</v>
      </c>
      <c r="AM20" s="599">
        <v>1364.6047595913701</v>
      </c>
      <c r="AN20" s="599">
        <v>1210.9879075877766</v>
      </c>
      <c r="AO20" s="599">
        <v>1323.3380188703563</v>
      </c>
      <c r="AP20" s="599">
        <v>1494.4276779788022</v>
      </c>
      <c r="AQ20" s="599">
        <v>1374.5850628854453</v>
      </c>
      <c r="AR20" s="654">
        <v>1472.7385682081581</v>
      </c>
      <c r="AS20" s="599">
        <v>1283.6789173399325</v>
      </c>
      <c r="AT20" s="600">
        <v>1443.2480895325996</v>
      </c>
    </row>
    <row r="21" spans="2:46" ht="15" customHeight="1" x14ac:dyDescent="0.25">
      <c r="B21" s="577" t="s">
        <v>77</v>
      </c>
      <c r="C21" s="574">
        <v>2.5</v>
      </c>
      <c r="D21" s="575">
        <v>1.3971540477633697</v>
      </c>
      <c r="E21" s="575">
        <v>1.3948331855794449</v>
      </c>
      <c r="F21" s="636">
        <v>1.4300075283398805</v>
      </c>
      <c r="G21" s="619">
        <v>1.3525716865187574</v>
      </c>
      <c r="H21" s="619">
        <v>1.4587665237384837</v>
      </c>
      <c r="I21" s="575">
        <v>2.5038257729172284</v>
      </c>
      <c r="J21" s="575">
        <v>2.4490709148428595</v>
      </c>
      <c r="K21" s="575">
        <v>2.53551952622729</v>
      </c>
      <c r="L21" s="575">
        <v>2.349608347100991</v>
      </c>
      <c r="M21" s="575">
        <v>2.5626824795998115</v>
      </c>
      <c r="N21" s="575">
        <v>53.991305483851853</v>
      </c>
      <c r="O21" s="575">
        <v>50.899416463504856</v>
      </c>
      <c r="P21" s="575">
        <v>54.219946982577113</v>
      </c>
      <c r="Q21" s="575">
        <v>46.273104325213446</v>
      </c>
      <c r="R21" s="575">
        <v>51.768835179222236</v>
      </c>
      <c r="S21" s="575">
        <v>35.014961020940184</v>
      </c>
      <c r="T21" s="608">
        <v>34.737233345959382</v>
      </c>
      <c r="U21" s="642">
        <v>35.328721447455123</v>
      </c>
      <c r="V21" s="667">
        <v>32.78014014982287</v>
      </c>
      <c r="W21" s="630">
        <v>35.667822298813341</v>
      </c>
      <c r="Y21" s="577" t="s">
        <v>77</v>
      </c>
      <c r="Z21" s="574">
        <v>2.5</v>
      </c>
      <c r="AA21" s="580">
        <v>9.342231111972045E-2</v>
      </c>
      <c r="AB21" s="614">
        <v>8.4153359609471429E-2</v>
      </c>
      <c r="AC21" s="645">
        <v>9.1298806504694519E-2</v>
      </c>
      <c r="AD21" s="625">
        <v>7.983634323605196E-2</v>
      </c>
      <c r="AE21" s="580">
        <v>8.9719882592671385E-2</v>
      </c>
      <c r="AF21" s="580">
        <v>0.15743897846365432</v>
      </c>
      <c r="AG21" s="580">
        <v>0.13852544534392619</v>
      </c>
      <c r="AH21" s="580">
        <v>0.1522618532063281</v>
      </c>
      <c r="AI21" s="580">
        <v>0.13119130405888574</v>
      </c>
      <c r="AJ21" s="580">
        <v>0.14857691122781458</v>
      </c>
      <c r="AK21" s="580">
        <v>6.5088117956081115</v>
      </c>
      <c r="AL21" s="580">
        <v>6.3767596747637647</v>
      </c>
      <c r="AM21" s="580">
        <v>6.7215695839181731</v>
      </c>
      <c r="AN21" s="580">
        <v>5.8278160558499286</v>
      </c>
      <c r="AO21" s="580">
        <v>6.4586853520757153</v>
      </c>
      <c r="AP21" s="580">
        <v>2.6395904258224894</v>
      </c>
      <c r="AQ21" s="580">
        <v>2.740447556259324</v>
      </c>
      <c r="AR21" s="655">
        <v>2.7348279228789698</v>
      </c>
      <c r="AS21" s="664">
        <v>2.6799584113290771</v>
      </c>
      <c r="AT21" s="581">
        <v>2.8381988439698009</v>
      </c>
    </row>
    <row r="22" spans="2:46" ht="15" customHeight="1" x14ac:dyDescent="0.25">
      <c r="B22" s="578" t="s">
        <v>77</v>
      </c>
      <c r="C22" s="566">
        <v>5</v>
      </c>
      <c r="D22" s="567">
        <v>1.0418924909940628</v>
      </c>
      <c r="E22" s="567">
        <v>1.0502875233042908</v>
      </c>
      <c r="F22" s="637">
        <v>1.0374882006187292</v>
      </c>
      <c r="G22" s="620">
        <v>1.0184711233604795</v>
      </c>
      <c r="H22" s="620">
        <v>1.0847557217743944</v>
      </c>
      <c r="I22" s="567">
        <v>1.8671650958861865</v>
      </c>
      <c r="J22" s="567">
        <v>1.8441120071848016</v>
      </c>
      <c r="K22" s="567">
        <v>1.8395508686258997</v>
      </c>
      <c r="L22" s="567">
        <v>1.7692284088011769</v>
      </c>
      <c r="M22" s="567">
        <v>1.9056404418389601</v>
      </c>
      <c r="N22" s="567">
        <v>26.494861853507956</v>
      </c>
      <c r="O22" s="567">
        <v>24.693578594896799</v>
      </c>
      <c r="P22" s="567">
        <v>26.977638216552069</v>
      </c>
      <c r="Q22" s="567">
        <v>22.449147113732284</v>
      </c>
      <c r="R22" s="567">
        <v>25.347706426799018</v>
      </c>
      <c r="S22" s="567">
        <v>18.49953229620164</v>
      </c>
      <c r="T22" s="609">
        <v>18.295658879482701</v>
      </c>
      <c r="U22" s="643">
        <v>18.81863223418312</v>
      </c>
      <c r="V22" s="667">
        <v>17.26497432390147</v>
      </c>
      <c r="W22" s="631">
        <v>18.856785216056942</v>
      </c>
      <c r="Y22" s="578" t="s">
        <v>77</v>
      </c>
      <c r="Z22" s="566">
        <v>5</v>
      </c>
      <c r="AA22" s="568">
        <v>7.4437633050542629E-2</v>
      </c>
      <c r="AB22" s="615">
        <v>6.8187064227653485E-2</v>
      </c>
      <c r="AC22" s="646">
        <v>7.0512872754216735E-2</v>
      </c>
      <c r="AD22" s="626">
        <v>6.4689848227444266E-2</v>
      </c>
      <c r="AE22" s="568">
        <v>7.1510523948232665E-2</v>
      </c>
      <c r="AF22" s="568">
        <v>0.12544524713921307</v>
      </c>
      <c r="AG22" s="568">
        <v>0.11224321266155955</v>
      </c>
      <c r="AH22" s="568">
        <v>0.11759650636733111</v>
      </c>
      <c r="AI22" s="568">
        <v>0.10630178192451863</v>
      </c>
      <c r="AJ22" s="568">
        <v>0.11842205385786968</v>
      </c>
      <c r="AK22" s="568">
        <v>3.2200977963579804</v>
      </c>
      <c r="AL22" s="568">
        <v>3.1100617887884798</v>
      </c>
      <c r="AM22" s="568">
        <v>3.3715355047231226</v>
      </c>
      <c r="AN22" s="568">
        <v>2.8423328506199783</v>
      </c>
      <c r="AO22" s="568">
        <v>3.1829080291039218</v>
      </c>
      <c r="AP22" s="568">
        <v>1.4123693975492666</v>
      </c>
      <c r="AQ22" s="568">
        <v>1.4615810114047596</v>
      </c>
      <c r="AR22" s="585">
        <v>1.4758985029899256</v>
      </c>
      <c r="AS22" s="665">
        <v>1.4293281159759328</v>
      </c>
      <c r="AT22" s="582">
        <v>1.5196910536012356</v>
      </c>
    </row>
    <row r="23" spans="2:46" ht="15" customHeight="1" x14ac:dyDescent="0.25">
      <c r="B23" s="578" t="s">
        <v>77</v>
      </c>
      <c r="C23" s="566">
        <v>10</v>
      </c>
      <c r="D23" s="567">
        <v>0.83180247546835373</v>
      </c>
      <c r="E23" s="567">
        <v>0.87801513017651456</v>
      </c>
      <c r="F23" s="637">
        <v>0.80521803913845447</v>
      </c>
      <c r="G23" s="620">
        <v>0.85142195904211748</v>
      </c>
      <c r="H23" s="620">
        <v>0.88322626248293923</v>
      </c>
      <c r="I23" s="567">
        <v>1.4906648836526515</v>
      </c>
      <c r="J23" s="567">
        <v>1.5416333224205427</v>
      </c>
      <c r="K23" s="567">
        <v>1.4277170019350753</v>
      </c>
      <c r="L23" s="567">
        <v>1.4790403804912813</v>
      </c>
      <c r="M23" s="567">
        <v>1.5516043393885985</v>
      </c>
      <c r="N23" s="567">
        <v>16.131129705124323</v>
      </c>
      <c r="O23" s="567">
        <v>14.748424884442715</v>
      </c>
      <c r="P23" s="567">
        <v>16.217704032040942</v>
      </c>
      <c r="Q23" s="567">
        <v>13.407918913823513</v>
      </c>
      <c r="R23" s="567">
        <v>15.196881971318049</v>
      </c>
      <c r="S23" s="567">
        <v>11.141131147288183</v>
      </c>
      <c r="T23" s="609">
        <v>11.093732055671971</v>
      </c>
      <c r="U23" s="643">
        <v>11.150633359165857</v>
      </c>
      <c r="V23" s="667">
        <v>10.46877138365763</v>
      </c>
      <c r="W23" s="631">
        <v>11.346212393856764</v>
      </c>
      <c r="Y23" s="578" t="s">
        <v>77</v>
      </c>
      <c r="Z23" s="566">
        <v>10</v>
      </c>
      <c r="AA23" s="568">
        <v>6.1432997269515802E-2</v>
      </c>
      <c r="AB23" s="615">
        <v>6.0203916614230024E-2</v>
      </c>
      <c r="AC23" s="646">
        <v>5.6587396907597405E-2</v>
      </c>
      <c r="AD23" s="626">
        <v>5.711657607022514E-2</v>
      </c>
      <c r="AE23" s="568">
        <v>6.1019071030892193E-2</v>
      </c>
      <c r="AF23" s="568">
        <v>0.10352931990387668</v>
      </c>
      <c r="AG23" s="568">
        <v>9.9102096447925683E-2</v>
      </c>
      <c r="AH23" s="568">
        <v>9.4372558099429099E-2</v>
      </c>
      <c r="AI23" s="568">
        <v>9.3856980346360058E-2</v>
      </c>
      <c r="AJ23" s="568">
        <v>0.10104811595575054</v>
      </c>
      <c r="AK23" s="568">
        <v>1.9653683349455255</v>
      </c>
      <c r="AL23" s="568">
        <v>1.8617429573405577</v>
      </c>
      <c r="AM23" s="568">
        <v>2.0318397222743307</v>
      </c>
      <c r="AN23" s="568">
        <v>1.7014742872003314</v>
      </c>
      <c r="AO23" s="568">
        <v>1.9128029137429825</v>
      </c>
      <c r="AP23" s="568">
        <v>0.8503654630116716</v>
      </c>
      <c r="AQ23" s="568">
        <v>0.88605608083972098</v>
      </c>
      <c r="AR23" s="585">
        <v>0.87431223560945093</v>
      </c>
      <c r="AS23" s="665">
        <v>0.86650415456924246</v>
      </c>
      <c r="AT23" s="582">
        <v>0.9141999933269509</v>
      </c>
    </row>
    <row r="24" spans="2:46" ht="15" customHeight="1" x14ac:dyDescent="0.25">
      <c r="B24" s="578" t="s">
        <v>77</v>
      </c>
      <c r="C24" s="566">
        <v>15</v>
      </c>
      <c r="D24" s="567">
        <v>0.7082336387190018</v>
      </c>
      <c r="E24" s="567">
        <v>0.82059045369519723</v>
      </c>
      <c r="F24" s="637">
        <v>0.68994178176983434</v>
      </c>
      <c r="G24" s="620">
        <v>0.79573792522356035</v>
      </c>
      <c r="H24" s="620">
        <v>0.79911371361742967</v>
      </c>
      <c r="I24" s="567">
        <v>1.2692184091728167</v>
      </c>
      <c r="J24" s="567">
        <v>1.4408061364755573</v>
      </c>
      <c r="K24" s="567">
        <v>1.2233228322009777</v>
      </c>
      <c r="L24" s="567">
        <v>1.3823093369803234</v>
      </c>
      <c r="M24" s="567">
        <v>1.4038399426983663</v>
      </c>
      <c r="N24" s="567">
        <v>13.104263564168489</v>
      </c>
      <c r="O24" s="567">
        <v>10.108843784106861</v>
      </c>
      <c r="P24" s="567">
        <v>13.099092950817974</v>
      </c>
      <c r="Q24" s="567">
        <v>9.1900388180014723</v>
      </c>
      <c r="R24" s="567">
        <v>11.196715171877123</v>
      </c>
      <c r="S24" s="567">
        <v>9.3258670616410217</v>
      </c>
      <c r="T24" s="609">
        <v>9.3124345763883074</v>
      </c>
      <c r="U24" s="643">
        <v>9.2688791800381374</v>
      </c>
      <c r="V24" s="667">
        <v>8.787851254688352</v>
      </c>
      <c r="W24" s="631">
        <v>9.4936202150111235</v>
      </c>
      <c r="Y24" s="578" t="s">
        <v>77</v>
      </c>
      <c r="Z24" s="566">
        <v>15</v>
      </c>
      <c r="AA24" s="568">
        <v>5.0952968134431162E-2</v>
      </c>
      <c r="AB24" s="615">
        <v>5.7542814493083884E-2</v>
      </c>
      <c r="AC24" s="646">
        <v>4.724659151576218E-2</v>
      </c>
      <c r="AD24" s="626">
        <v>5.4592102899745316E-2</v>
      </c>
      <c r="AE24" s="568">
        <v>5.5560838181069161E-2</v>
      </c>
      <c r="AF24" s="568">
        <v>8.5867959769222832E-2</v>
      </c>
      <c r="AG24" s="568">
        <v>9.4721637270203829E-2</v>
      </c>
      <c r="AH24" s="568">
        <v>7.8794607041247841E-2</v>
      </c>
      <c r="AI24" s="568">
        <v>8.9708632440222966E-2</v>
      </c>
      <c r="AJ24" s="568">
        <v>9.2009234560077147E-2</v>
      </c>
      <c r="AK24" s="568">
        <v>1.5760394752862241</v>
      </c>
      <c r="AL24" s="568">
        <v>1.2657279037084492</v>
      </c>
      <c r="AM24" s="568">
        <v>1.6217847616344367</v>
      </c>
      <c r="AN24" s="568">
        <v>1.1567675588397663</v>
      </c>
      <c r="AO24" s="568">
        <v>1.3956738307945262</v>
      </c>
      <c r="AP24" s="568">
        <v>0.70350925044305879</v>
      </c>
      <c r="AQ24" s="568">
        <v>0.73488031772279372</v>
      </c>
      <c r="AR24" s="585">
        <v>0.71886386132366187</v>
      </c>
      <c r="AS24" s="665">
        <v>0.71866627537508676</v>
      </c>
      <c r="AT24" s="582">
        <v>0.75604887047997282</v>
      </c>
    </row>
    <row r="25" spans="2:46" ht="15" customHeight="1" x14ac:dyDescent="0.25">
      <c r="B25" s="578" t="s">
        <v>77</v>
      </c>
      <c r="C25" s="566">
        <v>20</v>
      </c>
      <c r="D25" s="567">
        <v>0.61921517542831961</v>
      </c>
      <c r="E25" s="567">
        <v>0.7860432354536605</v>
      </c>
      <c r="F25" s="637">
        <v>0.61456971847183439</v>
      </c>
      <c r="G25" s="620">
        <v>0.7622379155242226</v>
      </c>
      <c r="H25" s="620">
        <v>0.74528785401998454</v>
      </c>
      <c r="I25" s="567">
        <v>1.109689312857701</v>
      </c>
      <c r="J25" s="567">
        <v>1.3801475657885343</v>
      </c>
      <c r="K25" s="567">
        <v>1.0896820405011061</v>
      </c>
      <c r="L25" s="567">
        <v>1.3241150813988565</v>
      </c>
      <c r="M25" s="567">
        <v>1.3092815708855372</v>
      </c>
      <c r="N25" s="567">
        <v>11.436849341024223</v>
      </c>
      <c r="O25" s="567">
        <v>9.2218999499194005</v>
      </c>
      <c r="P25" s="567">
        <v>11.437850379449392</v>
      </c>
      <c r="Q25" s="567">
        <v>8.3837116345490887</v>
      </c>
      <c r="R25" s="567">
        <v>10.013752492835046</v>
      </c>
      <c r="S25" s="567">
        <v>8.0860979031211304</v>
      </c>
      <c r="T25" s="609">
        <v>8.0711232649687759</v>
      </c>
      <c r="U25" s="643">
        <v>8.0449954569875501</v>
      </c>
      <c r="V25" s="667">
        <v>7.6164763671367153</v>
      </c>
      <c r="W25" s="631">
        <v>8.2320769576088253</v>
      </c>
      <c r="Y25" s="578" t="s">
        <v>77</v>
      </c>
      <c r="Z25" s="566">
        <v>20</v>
      </c>
      <c r="AA25" s="568">
        <v>4.552656051881402E-2</v>
      </c>
      <c r="AB25" s="615">
        <v>5.5690408608406392E-2</v>
      </c>
      <c r="AC25" s="646">
        <v>4.3008367418904174E-2</v>
      </c>
      <c r="AD25" s="626">
        <v>5.2834762823530459E-2</v>
      </c>
      <c r="AE25" s="568">
        <v>5.2619886826618056E-2</v>
      </c>
      <c r="AF25" s="568">
        <v>7.6723162755634303E-2</v>
      </c>
      <c r="AG25" s="568">
        <v>9.1672378734080226E-2</v>
      </c>
      <c r="AH25" s="568">
        <v>7.1726389175134408E-2</v>
      </c>
      <c r="AI25" s="568">
        <v>8.682087823044024E-2</v>
      </c>
      <c r="AJ25" s="568">
        <v>8.7138993363937919E-2</v>
      </c>
      <c r="AK25" s="568">
        <v>1.3492827317772338</v>
      </c>
      <c r="AL25" s="568">
        <v>1.1387158236768506</v>
      </c>
      <c r="AM25" s="568">
        <v>1.3911927024365089</v>
      </c>
      <c r="AN25" s="568">
        <v>1.0406895038162589</v>
      </c>
      <c r="AO25" s="568">
        <v>1.2286672044499027</v>
      </c>
      <c r="AP25" s="568">
        <v>0.59980407993543428</v>
      </c>
      <c r="AQ25" s="568">
        <v>0.62600838957659544</v>
      </c>
      <c r="AR25" s="585">
        <v>0.61422736803719191</v>
      </c>
      <c r="AS25" s="665">
        <v>0.61219687305025228</v>
      </c>
      <c r="AT25" s="582">
        <v>0.64468581487716814</v>
      </c>
    </row>
    <row r="26" spans="2:46" x14ac:dyDescent="0.25">
      <c r="B26" s="578" t="s">
        <v>77</v>
      </c>
      <c r="C26" s="566">
        <v>25</v>
      </c>
      <c r="D26" s="567">
        <v>0.6137726729889873</v>
      </c>
      <c r="E26" s="567">
        <v>0.75356985083146655</v>
      </c>
      <c r="F26" s="637">
        <v>0.61429482024184823</v>
      </c>
      <c r="G26" s="620">
        <v>0.73074868203730337</v>
      </c>
      <c r="H26" s="620">
        <v>0.72441368746205059</v>
      </c>
      <c r="I26" s="567">
        <v>1.099935858756788</v>
      </c>
      <c r="J26" s="567">
        <v>1.3231302660806252</v>
      </c>
      <c r="K26" s="567">
        <v>1.0891946236057108</v>
      </c>
      <c r="L26" s="567">
        <v>1.2694138285321004</v>
      </c>
      <c r="M26" s="567">
        <v>1.272610959074969</v>
      </c>
      <c r="N26" s="567">
        <v>10.269589885219391</v>
      </c>
      <c r="O26" s="567">
        <v>8.630344654264583</v>
      </c>
      <c r="P26" s="567">
        <v>10.314130238220677</v>
      </c>
      <c r="Q26" s="567">
        <v>7.8459244189678019</v>
      </c>
      <c r="R26" s="567">
        <v>9.215351273433571</v>
      </c>
      <c r="S26" s="567">
        <v>7.3105651946124848</v>
      </c>
      <c r="T26" s="609">
        <v>7.2886675886013386</v>
      </c>
      <c r="U26" s="643">
        <v>7.2943023782916017</v>
      </c>
      <c r="V26" s="667">
        <v>6.8781084856797046</v>
      </c>
      <c r="W26" s="631">
        <v>7.443866450655082</v>
      </c>
      <c r="Y26" s="578" t="s">
        <v>77</v>
      </c>
      <c r="Z26" s="566">
        <v>25</v>
      </c>
      <c r="AA26" s="568">
        <v>4.6185145138610426E-2</v>
      </c>
      <c r="AB26" s="615">
        <v>5.3528326424707548E-2</v>
      </c>
      <c r="AC26" s="646">
        <v>4.4041789092863382E-2</v>
      </c>
      <c r="AD26" s="626">
        <v>5.0783598960583105E-2</v>
      </c>
      <c r="AE26" s="568">
        <v>5.1617549935246212E-2</v>
      </c>
      <c r="AF26" s="568">
        <v>7.7833035638566375E-2</v>
      </c>
      <c r="AG26" s="568">
        <v>8.811335983386108E-2</v>
      </c>
      <c r="AH26" s="568">
        <v>7.3449858574622384E-2</v>
      </c>
      <c r="AI26" s="568">
        <v>8.3450297225459921E-2</v>
      </c>
      <c r="AJ26" s="568">
        <v>8.5479114694615166E-2</v>
      </c>
      <c r="AK26" s="568">
        <v>1.1972753806526193</v>
      </c>
      <c r="AL26" s="568">
        <v>1.0580924305639383</v>
      </c>
      <c r="AM26" s="568">
        <v>1.2404724771429332</v>
      </c>
      <c r="AN26" s="568">
        <v>0.96700655050411766</v>
      </c>
      <c r="AO26" s="568">
        <v>1.1206143111390214</v>
      </c>
      <c r="AP26" s="568">
        <v>0.53784916095707624</v>
      </c>
      <c r="AQ26" s="568">
        <v>0.56061177379147931</v>
      </c>
      <c r="AR26" s="585">
        <v>0.55258734727367564</v>
      </c>
      <c r="AS26" s="665">
        <v>0.54824450253365176</v>
      </c>
      <c r="AT26" s="582">
        <v>0.57821309741520754</v>
      </c>
    </row>
    <row r="27" spans="2:46" x14ac:dyDescent="0.25">
      <c r="B27" s="578" t="s">
        <v>77</v>
      </c>
      <c r="C27" s="566">
        <v>30</v>
      </c>
      <c r="D27" s="567">
        <v>0.61860440451923449</v>
      </c>
      <c r="E27" s="567">
        <v>0.68769596172487768</v>
      </c>
      <c r="F27" s="637">
        <v>0.62833563333131703</v>
      </c>
      <c r="G27" s="620">
        <v>0.6668696985650111</v>
      </c>
      <c r="H27" s="620">
        <v>0.68818993925538463</v>
      </c>
      <c r="I27" s="567">
        <v>1.1085947564299659</v>
      </c>
      <c r="J27" s="567">
        <v>1.2074678144509627</v>
      </c>
      <c r="K27" s="567">
        <v>1.114090125934839</v>
      </c>
      <c r="L27" s="567">
        <v>1.1584469982584853</v>
      </c>
      <c r="M27" s="567">
        <v>1.2089750287433927</v>
      </c>
      <c r="N27" s="567">
        <v>9.8799288651956143</v>
      </c>
      <c r="O27" s="567">
        <v>8.407325460519635</v>
      </c>
      <c r="P27" s="567">
        <v>9.9565844044033067</v>
      </c>
      <c r="Q27" s="567">
        <v>7.6431759336991387</v>
      </c>
      <c r="R27" s="567">
        <v>8.938888047328863</v>
      </c>
      <c r="S27" s="567">
        <v>7.0574488960135611</v>
      </c>
      <c r="T27" s="609">
        <v>7.0321181121512009</v>
      </c>
      <c r="U27" s="643">
        <v>7.0522784933780711</v>
      </c>
      <c r="V27" s="667">
        <v>6.6360152422881962</v>
      </c>
      <c r="W27" s="631">
        <v>7.1868137683831721</v>
      </c>
      <c r="Y27" s="578" t="s">
        <v>77</v>
      </c>
      <c r="Z27" s="566">
        <v>30</v>
      </c>
      <c r="AA27" s="568">
        <v>4.7545950020459589E-2</v>
      </c>
      <c r="AB27" s="615">
        <v>5.0188160278221171E-2</v>
      </c>
      <c r="AC27" s="646">
        <v>4.6680354909406148E-2</v>
      </c>
      <c r="AD27" s="626">
        <v>4.7614767070384902E-2</v>
      </c>
      <c r="AE27" s="568">
        <v>5.0423402564204085E-2</v>
      </c>
      <c r="AF27" s="568">
        <v>8.0126317916844977E-2</v>
      </c>
      <c r="AG27" s="568">
        <v>8.2615088521676219E-2</v>
      </c>
      <c r="AH27" s="568">
        <v>7.7850276678806604E-2</v>
      </c>
      <c r="AI27" s="568">
        <v>7.8243104972311267E-2</v>
      </c>
      <c r="AJ27" s="568">
        <v>8.3501596191322469E-2</v>
      </c>
      <c r="AK27" s="568">
        <v>1.1430950922612106</v>
      </c>
      <c r="AL27" s="568">
        <v>1.0231721264106097</v>
      </c>
      <c r="AM27" s="568">
        <v>1.1880283943144989</v>
      </c>
      <c r="AN27" s="568">
        <v>0.93509236793476014</v>
      </c>
      <c r="AO27" s="568">
        <v>1.0787999740022558</v>
      </c>
      <c r="AP27" s="568">
        <v>0.51180441028286638</v>
      </c>
      <c r="AQ27" s="568">
        <v>0.53308186750774345</v>
      </c>
      <c r="AR27" s="585">
        <v>0.52677169340622121</v>
      </c>
      <c r="AS27" s="665">
        <v>0.52132152959069444</v>
      </c>
      <c r="AT27" s="582">
        <v>0.55027562166823429</v>
      </c>
    </row>
    <row r="28" spans="2:46" x14ac:dyDescent="0.25">
      <c r="B28" s="578" t="s">
        <v>77</v>
      </c>
      <c r="C28" s="566">
        <v>35</v>
      </c>
      <c r="D28" s="567">
        <v>0.65162974291974063</v>
      </c>
      <c r="E28" s="567">
        <v>0.68488697970997969</v>
      </c>
      <c r="F28" s="637">
        <v>0.67366647863399709</v>
      </c>
      <c r="G28" s="620">
        <v>0.65454982074382762</v>
      </c>
      <c r="H28" s="620">
        <v>0.69956708117881439</v>
      </c>
      <c r="I28" s="567">
        <v>1.167779134544086</v>
      </c>
      <c r="J28" s="567">
        <v>1.2025357578981601</v>
      </c>
      <c r="K28" s="567">
        <v>1.1944653974823713</v>
      </c>
      <c r="L28" s="567">
        <v>1.137045627778507</v>
      </c>
      <c r="M28" s="567">
        <v>1.2289617790565091</v>
      </c>
      <c r="N28" s="567">
        <v>8.4040002329564558</v>
      </c>
      <c r="O28" s="567">
        <v>7.4085190321376784</v>
      </c>
      <c r="P28" s="567">
        <v>8.5898706286993107</v>
      </c>
      <c r="Q28" s="567">
        <v>6.7351504091855574</v>
      </c>
      <c r="R28" s="567">
        <v>7.7952798965364432</v>
      </c>
      <c r="S28" s="567">
        <v>6.141039133601625</v>
      </c>
      <c r="T28" s="609">
        <v>6.097816183342248</v>
      </c>
      <c r="U28" s="643">
        <v>6.1896057777816837</v>
      </c>
      <c r="V28" s="667">
        <v>5.7543400627966781</v>
      </c>
      <c r="W28" s="631">
        <v>6.2569789446593225</v>
      </c>
      <c r="Y28" s="578" t="s">
        <v>77</v>
      </c>
      <c r="Z28" s="566">
        <v>35</v>
      </c>
      <c r="AA28" s="568">
        <v>5.2432434067185854E-2</v>
      </c>
      <c r="AB28" s="615">
        <v>5.0924892211251231E-2</v>
      </c>
      <c r="AC28" s="646">
        <v>5.3363985730839704E-2</v>
      </c>
      <c r="AD28" s="626">
        <v>4.7531576646204519E-2</v>
      </c>
      <c r="AE28" s="568">
        <v>5.2997972193319427E-2</v>
      </c>
      <c r="AF28" s="568">
        <v>8.8361214349771386E-2</v>
      </c>
      <c r="AG28" s="568">
        <v>8.3827828210212604E-2</v>
      </c>
      <c r="AH28" s="568">
        <v>8.899677523644195E-2</v>
      </c>
      <c r="AI28" s="568">
        <v>7.81064020649503E-2</v>
      </c>
      <c r="AJ28" s="568">
        <v>8.7765106041993432E-2</v>
      </c>
      <c r="AK28" s="568">
        <v>0.97963533952623671</v>
      </c>
      <c r="AL28" s="568">
        <v>0.89945269238532355</v>
      </c>
      <c r="AM28" s="568">
        <v>1.0304973471379733</v>
      </c>
      <c r="AN28" s="568">
        <v>0.82202337129234626</v>
      </c>
      <c r="AO28" s="568">
        <v>0.94187989821759832</v>
      </c>
      <c r="AP28" s="568">
        <v>0.4399747089464276</v>
      </c>
      <c r="AQ28" s="568">
        <v>0.45660291189971403</v>
      </c>
      <c r="AR28" s="585">
        <v>0.45692822710896652</v>
      </c>
      <c r="AS28" s="665">
        <v>0.44652919659442253</v>
      </c>
      <c r="AT28" s="582">
        <v>0.47331325244465816</v>
      </c>
    </row>
    <row r="29" spans="2:46" x14ac:dyDescent="0.25">
      <c r="B29" s="578" t="s">
        <v>77</v>
      </c>
      <c r="C29" s="566">
        <v>40</v>
      </c>
      <c r="D29" s="567">
        <v>0.67809059121628112</v>
      </c>
      <c r="E29" s="567">
        <v>0.6934421032268766</v>
      </c>
      <c r="F29" s="637">
        <v>0.7070418261071888</v>
      </c>
      <c r="G29" s="620">
        <v>0.65348730947498546</v>
      </c>
      <c r="H29" s="620">
        <v>0.71370465336579003</v>
      </c>
      <c r="I29" s="567">
        <v>1.2151993557030858</v>
      </c>
      <c r="J29" s="567">
        <v>1.2175569836581543</v>
      </c>
      <c r="K29" s="567">
        <v>1.2536426000745422</v>
      </c>
      <c r="L29" s="567">
        <v>1.1351998954073188</v>
      </c>
      <c r="M29" s="567">
        <v>1.2537979046174323</v>
      </c>
      <c r="N29" s="567">
        <v>8.0469349632351221</v>
      </c>
      <c r="O29" s="567">
        <v>7.1288702344222035</v>
      </c>
      <c r="P29" s="567">
        <v>8.2997302778801885</v>
      </c>
      <c r="Q29" s="567">
        <v>6.4809197703494519</v>
      </c>
      <c r="R29" s="567">
        <v>7.5082437526616195</v>
      </c>
      <c r="S29" s="567">
        <v>5.9413789643332358</v>
      </c>
      <c r="T29" s="609">
        <v>5.8913174170828313</v>
      </c>
      <c r="U29" s="643">
        <v>6.0089731840539207</v>
      </c>
      <c r="V29" s="667">
        <v>5.5594796966008753</v>
      </c>
      <c r="W29" s="631">
        <v>6.0548507374800087</v>
      </c>
      <c r="Y29" s="578" t="s">
        <v>77</v>
      </c>
      <c r="Z29" s="566">
        <v>40</v>
      </c>
      <c r="AA29" s="568">
        <v>5.6276075645135211E-2</v>
      </c>
      <c r="AB29" s="615">
        <v>5.2210482049746557E-2</v>
      </c>
      <c r="AC29" s="646">
        <v>5.8182850351051821E-2</v>
      </c>
      <c r="AD29" s="626">
        <v>4.7988573649475022E-2</v>
      </c>
      <c r="AE29" s="568">
        <v>5.5264082985379132E-2</v>
      </c>
      <c r="AF29" s="568">
        <v>9.4838671355060966E-2</v>
      </c>
      <c r="AG29" s="568">
        <v>8.5944046810796523E-2</v>
      </c>
      <c r="AH29" s="568">
        <v>9.7033345324421996E-2</v>
      </c>
      <c r="AI29" s="568">
        <v>7.8857363724514226E-2</v>
      </c>
      <c r="AJ29" s="568">
        <v>9.1517805357404183E-2</v>
      </c>
      <c r="AK29" s="568">
        <v>0.93433701273982317</v>
      </c>
      <c r="AL29" s="568">
        <v>0.85747498710726278</v>
      </c>
      <c r="AM29" s="568">
        <v>0.98998289093577196</v>
      </c>
      <c r="AN29" s="568">
        <v>0.78365928513163219</v>
      </c>
      <c r="AO29" s="568">
        <v>0.90031197101852112</v>
      </c>
      <c r="AP29" s="568">
        <v>0.41851548417522011</v>
      </c>
      <c r="AQ29" s="568">
        <v>0.43364621067727743</v>
      </c>
      <c r="AR29" s="585">
        <v>0.43632858872103825</v>
      </c>
      <c r="AS29" s="665">
        <v>0.42407910826033185</v>
      </c>
      <c r="AT29" s="582">
        <v>0.4503380618715403</v>
      </c>
    </row>
    <row r="30" spans="2:46" x14ac:dyDescent="0.25">
      <c r="B30" s="578" t="s">
        <v>77</v>
      </c>
      <c r="C30" s="566">
        <v>45</v>
      </c>
      <c r="D30" s="567">
        <v>0.69767513528606295</v>
      </c>
      <c r="E30" s="567">
        <v>0.70009633550098382</v>
      </c>
      <c r="F30" s="637">
        <v>0.72958056997627041</v>
      </c>
      <c r="G30" s="620">
        <v>0.65745913087642516</v>
      </c>
      <c r="H30" s="620">
        <v>0.72573872938531059</v>
      </c>
      <c r="I30" s="567">
        <v>1.2502966209411266</v>
      </c>
      <c r="J30" s="567">
        <v>1.2292405934916517</v>
      </c>
      <c r="K30" s="567">
        <v>1.2936056240755665</v>
      </c>
      <c r="L30" s="567">
        <v>1.1420995110144121</v>
      </c>
      <c r="M30" s="567">
        <v>1.2749387213770347</v>
      </c>
      <c r="N30" s="567">
        <v>7.7641554673024569</v>
      </c>
      <c r="O30" s="567">
        <v>6.9125866877711246</v>
      </c>
      <c r="P30" s="567">
        <v>8.0681256740116325</v>
      </c>
      <c r="Q30" s="567">
        <v>6.2842943359357797</v>
      </c>
      <c r="R30" s="567">
        <v>7.2834780552144966</v>
      </c>
      <c r="S30" s="567">
        <v>5.7869862381682813</v>
      </c>
      <c r="T30" s="609">
        <v>5.7304165166018208</v>
      </c>
      <c r="U30" s="643">
        <v>5.8723819428816917</v>
      </c>
      <c r="V30" s="667">
        <v>5.4076464768224586</v>
      </c>
      <c r="W30" s="631">
        <v>5.8987532558162785</v>
      </c>
      <c r="Y30" s="578" t="s">
        <v>77</v>
      </c>
      <c r="Z30" s="566">
        <v>45</v>
      </c>
      <c r="AA30" s="568">
        <v>5.9155095181805138E-2</v>
      </c>
      <c r="AB30" s="615">
        <v>5.321043520145851E-2</v>
      </c>
      <c r="AC30" s="646">
        <v>6.156934340843901E-2</v>
      </c>
      <c r="AD30" s="626">
        <v>4.8769009924384155E-2</v>
      </c>
      <c r="AE30" s="568">
        <v>5.7110933673668984E-2</v>
      </c>
      <c r="AF30" s="568">
        <v>9.9690509094863322E-2</v>
      </c>
      <c r="AG30" s="568">
        <v>8.7590076824414317E-2</v>
      </c>
      <c r="AH30" s="568">
        <v>0.10268110490123118</v>
      </c>
      <c r="AI30" s="568">
        <v>8.0139817911293085E-2</v>
      </c>
      <c r="AJ30" s="568">
        <v>9.4576206269617172E-2</v>
      </c>
      <c r="AK30" s="568">
        <v>0.89902120967554711</v>
      </c>
      <c r="AL30" s="568">
        <v>0.82510544486462922</v>
      </c>
      <c r="AM30" s="568">
        <v>0.95836031131169652</v>
      </c>
      <c r="AN30" s="568">
        <v>0.7540764885259259</v>
      </c>
      <c r="AO30" s="568">
        <v>0.86810701478618124</v>
      </c>
      <c r="AP30" s="568">
        <v>0.40189435916905619</v>
      </c>
      <c r="AQ30" s="568">
        <v>0.41577771868986318</v>
      </c>
      <c r="AR30" s="585">
        <v>0.42058668943325417</v>
      </c>
      <c r="AS30" s="665">
        <v>0.40660484267142538</v>
      </c>
      <c r="AT30" s="582">
        <v>0.4325562365872434</v>
      </c>
    </row>
    <row r="31" spans="2:46" x14ac:dyDescent="0.25">
      <c r="B31" s="578" t="s">
        <v>77</v>
      </c>
      <c r="C31" s="566">
        <v>50</v>
      </c>
      <c r="D31" s="567">
        <v>0.70365923693412913</v>
      </c>
      <c r="E31" s="567">
        <v>0.70785223701307876</v>
      </c>
      <c r="F31" s="637">
        <v>0.735285898450456</v>
      </c>
      <c r="G31" s="620">
        <v>0.66877136961679884</v>
      </c>
      <c r="H31" s="620">
        <v>0.73473338737876426</v>
      </c>
      <c r="I31" s="567">
        <v>1.2610206695585071</v>
      </c>
      <c r="J31" s="567">
        <v>1.2428585321871428</v>
      </c>
      <c r="K31" s="567">
        <v>1.3037216349798109</v>
      </c>
      <c r="L31" s="567">
        <v>1.1617504698757428</v>
      </c>
      <c r="M31" s="567">
        <v>1.2907400522101162</v>
      </c>
      <c r="N31" s="567">
        <v>7.4983171863700866</v>
      </c>
      <c r="O31" s="567">
        <v>7.0874670181579154</v>
      </c>
      <c r="P31" s="567">
        <v>7.8396623276611122</v>
      </c>
      <c r="Q31" s="567">
        <v>6.4432807900948754</v>
      </c>
      <c r="R31" s="567">
        <v>7.2962073489760995</v>
      </c>
      <c r="S31" s="567">
        <v>5.5953463842528093</v>
      </c>
      <c r="T31" s="609">
        <v>5.5336110416348392</v>
      </c>
      <c r="U31" s="643">
        <v>5.695554025306989</v>
      </c>
      <c r="V31" s="667">
        <v>5.2219306325443071</v>
      </c>
      <c r="W31" s="631">
        <v>5.7045368291931906</v>
      </c>
      <c r="Y31" s="578" t="s">
        <v>77</v>
      </c>
      <c r="Z31" s="566">
        <v>50</v>
      </c>
      <c r="AA31" s="568">
        <v>6.0490501947330015E-2</v>
      </c>
      <c r="AB31" s="615">
        <v>5.4369638218153674E-2</v>
      </c>
      <c r="AC31" s="646">
        <v>6.297350389542937E-2</v>
      </c>
      <c r="AD31" s="626">
        <v>5.0113838771584027E-2</v>
      </c>
      <c r="AE31" s="568">
        <v>5.8515787092989956E-2</v>
      </c>
      <c r="AF31" s="568">
        <v>0.10194098946168126</v>
      </c>
      <c r="AG31" s="568">
        <v>8.9498249176378816E-2</v>
      </c>
      <c r="AH31" s="568">
        <v>0.10502286692565872</v>
      </c>
      <c r="AI31" s="568">
        <v>8.2349711839907899E-2</v>
      </c>
      <c r="AJ31" s="568">
        <v>9.6902655833959267E-2</v>
      </c>
      <c r="AK31" s="568">
        <v>0.86992730572767263</v>
      </c>
      <c r="AL31" s="568">
        <v>0.85383007522977927</v>
      </c>
      <c r="AM31" s="568">
        <v>0.93161112833360227</v>
      </c>
      <c r="AN31" s="568">
        <v>0.78032820707155182</v>
      </c>
      <c r="AO31" s="568">
        <v>0.87448111737065926</v>
      </c>
      <c r="AP31" s="568">
        <v>0.38178960829242603</v>
      </c>
      <c r="AQ31" s="568">
        <v>0.39430898990251578</v>
      </c>
      <c r="AR31" s="585">
        <v>0.40119359982909658</v>
      </c>
      <c r="AS31" s="665">
        <v>0.38560953511397322</v>
      </c>
      <c r="AT31" s="582">
        <v>0.41102546670318169</v>
      </c>
    </row>
    <row r="32" spans="2:46" x14ac:dyDescent="0.25">
      <c r="B32" s="578" t="s">
        <v>77</v>
      </c>
      <c r="C32" s="566">
        <v>55</v>
      </c>
      <c r="D32" s="567">
        <v>0.70576084285483631</v>
      </c>
      <c r="E32" s="567">
        <v>0.72390260029149933</v>
      </c>
      <c r="F32" s="637">
        <v>0.73592373314149173</v>
      </c>
      <c r="G32" s="620">
        <v>0.68558352367180475</v>
      </c>
      <c r="H32" s="620">
        <v>0.74574605323754539</v>
      </c>
      <c r="I32" s="567">
        <v>1.2647869364760356</v>
      </c>
      <c r="J32" s="567">
        <v>1.2710400224787664</v>
      </c>
      <c r="K32" s="567">
        <v>1.3048525677067901</v>
      </c>
      <c r="L32" s="567">
        <v>1.1909555596274439</v>
      </c>
      <c r="M32" s="567">
        <v>1.3100865105985764</v>
      </c>
      <c r="N32" s="567">
        <v>7.2764750358296855</v>
      </c>
      <c r="O32" s="567">
        <v>7.2305516880758072</v>
      </c>
      <c r="P32" s="567">
        <v>7.6375751016591726</v>
      </c>
      <c r="Q32" s="567">
        <v>6.5733626098714639</v>
      </c>
      <c r="R32" s="567">
        <v>7.301592318768221</v>
      </c>
      <c r="S32" s="567">
        <v>5.4095521590282987</v>
      </c>
      <c r="T32" s="609">
        <v>5.3446582966475944</v>
      </c>
      <c r="U32" s="643">
        <v>5.519490087621528</v>
      </c>
      <c r="V32" s="667">
        <v>5.0436227511727623</v>
      </c>
      <c r="W32" s="631">
        <v>5.515950167433032</v>
      </c>
      <c r="Y32" s="578" t="s">
        <v>77</v>
      </c>
      <c r="Z32" s="566">
        <v>55</v>
      </c>
      <c r="AA32" s="568">
        <v>6.1234246026660069E-2</v>
      </c>
      <c r="AB32" s="615">
        <v>5.6751148570804127E-2</v>
      </c>
      <c r="AC32" s="646">
        <v>6.3476199958803575E-2</v>
      </c>
      <c r="AD32" s="626">
        <v>5.2190540870918033E-2</v>
      </c>
      <c r="AE32" s="568">
        <v>6.0162460714201942E-2</v>
      </c>
      <c r="AF32" s="568">
        <v>0.10319437643835389</v>
      </c>
      <c r="AG32" s="568">
        <v>9.341847035023372E-2</v>
      </c>
      <c r="AH32" s="568">
        <v>0.10586122875249099</v>
      </c>
      <c r="AI32" s="568">
        <v>8.5762258626374738E-2</v>
      </c>
      <c r="AJ32" s="568">
        <v>9.9629561770191305E-2</v>
      </c>
      <c r="AK32" s="568">
        <v>0.84567087140635477</v>
      </c>
      <c r="AL32" s="568">
        <v>0.87733189084026952</v>
      </c>
      <c r="AM32" s="568">
        <v>0.90809923781733159</v>
      </c>
      <c r="AN32" s="568">
        <v>0.80180706267706381</v>
      </c>
      <c r="AO32" s="568">
        <v>0.87915253703342888</v>
      </c>
      <c r="AP32" s="568">
        <v>0.36410684412677358</v>
      </c>
      <c r="AQ32" s="568">
        <v>0.37554568229820834</v>
      </c>
      <c r="AR32" s="585">
        <v>0.38384220620048204</v>
      </c>
      <c r="AS32" s="665">
        <v>0.36725982190375778</v>
      </c>
      <c r="AT32" s="582">
        <v>0.39206869112767317</v>
      </c>
    </row>
    <row r="33" spans="2:46" x14ac:dyDescent="0.25">
      <c r="B33" s="578" t="s">
        <v>77</v>
      </c>
      <c r="C33" s="566">
        <v>60</v>
      </c>
      <c r="D33" s="567">
        <v>0.71690976259685257</v>
      </c>
      <c r="E33" s="567">
        <v>0.73727865598468523</v>
      </c>
      <c r="F33" s="637">
        <v>0.74559900183705485</v>
      </c>
      <c r="G33" s="620">
        <v>0.70859905956026825</v>
      </c>
      <c r="H33" s="620">
        <v>0.7629116883380318</v>
      </c>
      <c r="I33" s="567">
        <v>1.2847668038606905</v>
      </c>
      <c r="J33" s="567">
        <v>1.2945259197833185</v>
      </c>
      <c r="K33" s="567">
        <v>1.3220076051544429</v>
      </c>
      <c r="L33" s="567">
        <v>1.2309368011213571</v>
      </c>
      <c r="M33" s="567">
        <v>1.3402421740357136</v>
      </c>
      <c r="N33" s="567">
        <v>7.2037017688616718</v>
      </c>
      <c r="O33" s="567">
        <v>7.1813881877853625</v>
      </c>
      <c r="P33" s="567">
        <v>7.5704906526444988</v>
      </c>
      <c r="Q33" s="567">
        <v>6.5286662828711943</v>
      </c>
      <c r="R33" s="567">
        <v>7.2453484406866302</v>
      </c>
      <c r="S33" s="567">
        <v>5.3697688913133579</v>
      </c>
      <c r="T33" s="609">
        <v>5.3054246437547539</v>
      </c>
      <c r="U33" s="643">
        <v>5.4787017038679968</v>
      </c>
      <c r="V33" s="667">
        <v>5.0066122526373205</v>
      </c>
      <c r="W33" s="631">
        <v>5.4753744890716405</v>
      </c>
      <c r="Y33" s="578" t="s">
        <v>77</v>
      </c>
      <c r="Z33" s="566">
        <v>60</v>
      </c>
      <c r="AA33" s="568">
        <v>6.3111820061504981E-2</v>
      </c>
      <c r="AB33" s="615">
        <v>5.8735785581181185E-2</v>
      </c>
      <c r="AC33" s="646">
        <v>6.4908495168833055E-2</v>
      </c>
      <c r="AD33" s="626">
        <v>5.5084850123773045E-2</v>
      </c>
      <c r="AE33" s="568">
        <v>6.2517901738316825E-2</v>
      </c>
      <c r="AF33" s="568">
        <v>0.1063585385586535</v>
      </c>
      <c r="AG33" s="568">
        <v>9.6685395485300793E-2</v>
      </c>
      <c r="AH33" s="568">
        <v>0.10824991192773516</v>
      </c>
      <c r="AI33" s="568">
        <v>9.0518340754398394E-2</v>
      </c>
      <c r="AJ33" s="568">
        <v>0.10353019273212766</v>
      </c>
      <c r="AK33" s="568">
        <v>0.83019068893705905</v>
      </c>
      <c r="AL33" s="568">
        <v>0.8643383772374249</v>
      </c>
      <c r="AM33" s="568">
        <v>0.89260269148444027</v>
      </c>
      <c r="AN33" s="568">
        <v>0.78993200634040195</v>
      </c>
      <c r="AO33" s="568">
        <v>0.86524273305023791</v>
      </c>
      <c r="AP33" s="568">
        <v>0.36618102829344407</v>
      </c>
      <c r="AQ33" s="568">
        <v>0.37790327433754151</v>
      </c>
      <c r="AR33" s="585">
        <v>0.38549150037312591</v>
      </c>
      <c r="AS33" s="665">
        <v>0.36956689063175208</v>
      </c>
      <c r="AT33" s="582">
        <v>0.39426751586859621</v>
      </c>
    </row>
    <row r="34" spans="2:46" x14ac:dyDescent="0.25">
      <c r="B34" s="578" t="s">
        <v>77</v>
      </c>
      <c r="C34" s="566">
        <v>65</v>
      </c>
      <c r="D34" s="567">
        <v>0.75884447640457298</v>
      </c>
      <c r="E34" s="567">
        <v>0.76510991985595134</v>
      </c>
      <c r="F34" s="637">
        <v>0.78107182991800861</v>
      </c>
      <c r="G34" s="620">
        <v>0.7419398661428328</v>
      </c>
      <c r="H34" s="620">
        <v>0.79845129390727065</v>
      </c>
      <c r="I34" s="567">
        <v>1.3599175843918443</v>
      </c>
      <c r="J34" s="567">
        <v>1.343392507971152</v>
      </c>
      <c r="K34" s="567">
        <v>1.3849038112703485</v>
      </c>
      <c r="L34" s="567">
        <v>1.2888544983689605</v>
      </c>
      <c r="M34" s="567">
        <v>1.4026762394204657</v>
      </c>
      <c r="N34" s="567">
        <v>7.812324465976408</v>
      </c>
      <c r="O34" s="567">
        <v>7.8150527987812719</v>
      </c>
      <c r="P34" s="567">
        <v>8.1442011984348461</v>
      </c>
      <c r="Q34" s="567">
        <v>7.1047363551741132</v>
      </c>
      <c r="R34" s="567">
        <v>7.8533690903117961</v>
      </c>
      <c r="S34" s="567">
        <v>5.6903448119263667</v>
      </c>
      <c r="T34" s="609">
        <v>5.6336384591784885</v>
      </c>
      <c r="U34" s="643">
        <v>5.7769892371090883</v>
      </c>
      <c r="V34" s="667">
        <v>5.3163497243667832</v>
      </c>
      <c r="W34" s="631">
        <v>5.8004212781516271</v>
      </c>
      <c r="Y34" s="578" t="s">
        <v>77</v>
      </c>
      <c r="Z34" s="566">
        <v>65</v>
      </c>
      <c r="AA34" s="568">
        <v>6.9541280043763365E-2</v>
      </c>
      <c r="AB34" s="615">
        <v>6.2979301035066312E-2</v>
      </c>
      <c r="AC34" s="646">
        <v>7.0292046659858942E-2</v>
      </c>
      <c r="AD34" s="626">
        <v>5.9750393607464314E-2</v>
      </c>
      <c r="AE34" s="568">
        <v>6.7733653238345251E-2</v>
      </c>
      <c r="AF34" s="568">
        <v>0.11719371914396906</v>
      </c>
      <c r="AG34" s="568">
        <v>0.10367067653410528</v>
      </c>
      <c r="AH34" s="568">
        <v>0.1172282278360942</v>
      </c>
      <c r="AI34" s="568">
        <v>9.8185008702342383E-2</v>
      </c>
      <c r="AJ34" s="568">
        <v>0.11216752288919327</v>
      </c>
      <c r="AK34" s="568">
        <v>0.88122064359564189</v>
      </c>
      <c r="AL34" s="568">
        <v>0.91992046122515791</v>
      </c>
      <c r="AM34" s="568">
        <v>0.94154252510957914</v>
      </c>
      <c r="AN34" s="568">
        <v>0.84072930773696508</v>
      </c>
      <c r="AO34" s="568">
        <v>0.91805366885104822</v>
      </c>
      <c r="AP34" s="568">
        <v>0.38205645384167897</v>
      </c>
      <c r="AQ34" s="568">
        <v>0.39501243590352081</v>
      </c>
      <c r="AR34" s="585">
        <v>0.40041760144533001</v>
      </c>
      <c r="AS34" s="665">
        <v>0.38629966026359641</v>
      </c>
      <c r="AT34" s="582">
        <v>0.41124350372321589</v>
      </c>
    </row>
    <row r="35" spans="2:46" x14ac:dyDescent="0.25">
      <c r="B35" s="578" t="s">
        <v>77</v>
      </c>
      <c r="C35" s="566">
        <v>70</v>
      </c>
      <c r="D35" s="567">
        <v>0.82813335916187969</v>
      </c>
      <c r="E35" s="567">
        <v>0.83084573585870469</v>
      </c>
      <c r="F35" s="637">
        <v>0.84159435687919693</v>
      </c>
      <c r="G35" s="620">
        <v>0.80568509360494167</v>
      </c>
      <c r="H35" s="620">
        <v>0.86525696274516684</v>
      </c>
      <c r="I35" s="567">
        <v>1.4840894970754253</v>
      </c>
      <c r="J35" s="567">
        <v>1.4588125285873992</v>
      </c>
      <c r="K35" s="567">
        <v>1.4922151686202363</v>
      </c>
      <c r="L35" s="567">
        <v>1.3995889755324709</v>
      </c>
      <c r="M35" s="567">
        <v>1.5200368411911129</v>
      </c>
      <c r="N35" s="567">
        <v>8.3881019726649519</v>
      </c>
      <c r="O35" s="567">
        <v>8.4138093486643708</v>
      </c>
      <c r="P35" s="567">
        <v>8.68865958025245</v>
      </c>
      <c r="Q35" s="567">
        <v>7.6490704101875169</v>
      </c>
      <c r="R35" s="567">
        <v>8.4286755942440585</v>
      </c>
      <c r="S35" s="567">
        <v>5.9668325022671862</v>
      </c>
      <c r="T35" s="609">
        <v>5.9163348507623166</v>
      </c>
      <c r="U35" s="643">
        <v>6.0352179084149196</v>
      </c>
      <c r="V35" s="667">
        <v>5.5831296291488686</v>
      </c>
      <c r="W35" s="631">
        <v>6.0808288314291525</v>
      </c>
      <c r="Y35" s="578" t="s">
        <v>77</v>
      </c>
      <c r="Z35" s="566">
        <v>70</v>
      </c>
      <c r="AA35" s="568">
        <v>8.1199931667120376E-2</v>
      </c>
      <c r="AB35" s="615">
        <v>7.3119892480736928E-2</v>
      </c>
      <c r="AC35" s="646">
        <v>8.0178587013757713E-2</v>
      </c>
      <c r="AD35" s="626">
        <v>6.9371033032412655E-2</v>
      </c>
      <c r="AE35" s="568">
        <v>7.8226660588258445E-2</v>
      </c>
      <c r="AF35" s="568">
        <v>0.13684134057235281</v>
      </c>
      <c r="AG35" s="568">
        <v>0.12036317642455802</v>
      </c>
      <c r="AH35" s="568">
        <v>0.1337163180282302</v>
      </c>
      <c r="AI35" s="568">
        <v>0.11399415251930704</v>
      </c>
      <c r="AJ35" s="568">
        <v>0.12954403494526459</v>
      </c>
      <c r="AK35" s="568">
        <v>0.93020052806261455</v>
      </c>
      <c r="AL35" s="568">
        <v>0.97315005983006353</v>
      </c>
      <c r="AM35" s="568">
        <v>0.98880187999943425</v>
      </c>
      <c r="AN35" s="568">
        <v>0.88937654631641383</v>
      </c>
      <c r="AO35" s="568">
        <v>0.96876016397048126</v>
      </c>
      <c r="AP35" s="568">
        <v>0.39576499574714868</v>
      </c>
      <c r="AQ35" s="568">
        <v>0.40977143779524938</v>
      </c>
      <c r="AR35" s="585">
        <v>0.41334624724938401</v>
      </c>
      <c r="AS35" s="665">
        <v>0.40073377479274808</v>
      </c>
      <c r="AT35" s="582">
        <v>0.42590574078903437</v>
      </c>
    </row>
    <row r="36" spans="2:46" ht="15.75" thickBot="1" x14ac:dyDescent="0.3">
      <c r="B36" s="579" t="s">
        <v>77</v>
      </c>
      <c r="C36" s="572">
        <v>75</v>
      </c>
      <c r="D36" s="576">
        <v>0.91062756679248158</v>
      </c>
      <c r="E36" s="576">
        <v>0.91616325584138669</v>
      </c>
      <c r="F36" s="638">
        <v>0.91506178191281917</v>
      </c>
      <c r="G36" s="621">
        <v>0.88841842619334588</v>
      </c>
      <c r="H36" s="621">
        <v>0.94966722734191389</v>
      </c>
      <c r="I36" s="576">
        <v>1.6319265401792571</v>
      </c>
      <c r="J36" s="576">
        <v>1.6086144252416636</v>
      </c>
      <c r="K36" s="576">
        <v>1.6224788819383349</v>
      </c>
      <c r="L36" s="576">
        <v>1.5433084772570114</v>
      </c>
      <c r="M36" s="576">
        <v>1.6683242488470673</v>
      </c>
      <c r="N36" s="576">
        <v>9.0473988229196252</v>
      </c>
      <c r="O36" s="576">
        <v>9.1011176314806459</v>
      </c>
      <c r="P36" s="576">
        <v>9.3080090833870841</v>
      </c>
      <c r="Q36" s="576">
        <v>8.27390830884843</v>
      </c>
      <c r="R36" s="576">
        <v>9.0871960707824098</v>
      </c>
      <c r="S36" s="576">
        <v>6.2969547773309253</v>
      </c>
      <c r="T36" s="610">
        <v>6.2539709371304442</v>
      </c>
      <c r="U36" s="644">
        <v>6.3433171044752861</v>
      </c>
      <c r="V36" s="667">
        <v>5.9017519290496789</v>
      </c>
      <c r="W36" s="632">
        <v>6.4156228410136196</v>
      </c>
      <c r="Y36" s="579" t="s">
        <v>77</v>
      </c>
      <c r="Z36" s="572">
        <v>75</v>
      </c>
      <c r="AA36" s="583">
        <v>9.597121141093154E-2</v>
      </c>
      <c r="AB36" s="616">
        <v>8.6790171763788518E-2</v>
      </c>
      <c r="AC36" s="647">
        <v>9.2919315184508119E-2</v>
      </c>
      <c r="AD36" s="627">
        <v>8.2340404541594581E-2</v>
      </c>
      <c r="AE36" s="583">
        <v>9.2112992517711156E-2</v>
      </c>
      <c r="AF36" s="583">
        <v>0.16173448617743508</v>
      </c>
      <c r="AG36" s="583">
        <v>0.14286592063404097</v>
      </c>
      <c r="AH36" s="583">
        <v>0.15496442582662484</v>
      </c>
      <c r="AI36" s="583">
        <v>0.13530611010838411</v>
      </c>
      <c r="AJ36" s="583">
        <v>0.15253992221953963</v>
      </c>
      <c r="AK36" s="583">
        <v>0.99020743399303701</v>
      </c>
      <c r="AL36" s="583">
        <v>1.0385047865565677</v>
      </c>
      <c r="AM36" s="583">
        <v>1.0463681435780925</v>
      </c>
      <c r="AN36" s="583">
        <v>0.949105336529802</v>
      </c>
      <c r="AO36" s="583">
        <v>1.0308636931961319</v>
      </c>
      <c r="AP36" s="583">
        <v>0.41480093878350061</v>
      </c>
      <c r="AQ36" s="583">
        <v>0.43021552410532421</v>
      </c>
      <c r="AR36" s="586">
        <v>0.43141922778096953</v>
      </c>
      <c r="AS36" s="666">
        <v>0.42072751300844968</v>
      </c>
      <c r="AT36" s="584">
        <v>0.44627261757608278</v>
      </c>
    </row>
    <row r="37" spans="2:46" x14ac:dyDescent="0.25">
      <c r="B37" s="595" t="s">
        <v>377</v>
      </c>
      <c r="C37" s="596">
        <v>2.5</v>
      </c>
      <c r="D37" s="601">
        <v>8.2832397183782977E-2</v>
      </c>
      <c r="E37" s="601">
        <v>7.9917287639109408E-2</v>
      </c>
      <c r="F37" s="639">
        <v>7.592860971646001E-2</v>
      </c>
      <c r="G37" s="622">
        <v>7.75562757716102E-2</v>
      </c>
      <c r="H37" s="622">
        <v>8.2590565811497152E-2</v>
      </c>
      <c r="I37" s="601">
        <v>0.11823368156869787</v>
      </c>
      <c r="J37" s="601">
        <v>0.10548350890912177</v>
      </c>
      <c r="K37" s="601">
        <v>0.10808937186960964</v>
      </c>
      <c r="L37" s="601">
        <v>0.10101657418404653</v>
      </c>
      <c r="M37" s="601">
        <v>0.11154505105292736</v>
      </c>
      <c r="N37" s="601">
        <v>3.4169505147054222</v>
      </c>
      <c r="O37" s="601">
        <v>3.0648973209541928</v>
      </c>
      <c r="P37" s="601">
        <v>3.3617648911944822</v>
      </c>
      <c r="Q37" s="601">
        <v>2.9218302200706856</v>
      </c>
      <c r="R37" s="601">
        <v>3.0784620839595211</v>
      </c>
      <c r="S37" s="601">
        <v>2.1891865065406102</v>
      </c>
      <c r="T37" s="611">
        <v>2.0101430261128463</v>
      </c>
      <c r="U37" s="645">
        <v>2.1362776912637997</v>
      </c>
      <c r="V37" s="623">
        <v>1.9090699693229221</v>
      </c>
      <c r="W37" s="633">
        <v>2.0671092753066818</v>
      </c>
      <c r="Y37" s="595" t="s">
        <v>377</v>
      </c>
      <c r="Z37" s="596">
        <v>2.5</v>
      </c>
      <c r="AA37" s="601">
        <v>4.0864327407591647E-2</v>
      </c>
      <c r="AB37" s="611">
        <v>4.7002095344240338E-2</v>
      </c>
      <c r="AC37" s="645">
        <v>3.6800416201940404E-2</v>
      </c>
      <c r="AD37" s="622">
        <v>4.7511973958459144E-2</v>
      </c>
      <c r="AE37" s="601">
        <v>4.6403195677614868E-2</v>
      </c>
      <c r="AF37" s="601">
        <v>5.3982320104267491E-2</v>
      </c>
      <c r="AG37" s="601">
        <v>5.9560269702536917E-2</v>
      </c>
      <c r="AH37" s="601">
        <v>5.0222605863206871E-2</v>
      </c>
      <c r="AI37" s="601">
        <v>6.0047623554095812E-2</v>
      </c>
      <c r="AJ37" s="601">
        <v>6.0090942129484626E-2</v>
      </c>
      <c r="AK37" s="601">
        <v>0.32756616030983565</v>
      </c>
      <c r="AL37" s="601">
        <v>0.3228470031348078</v>
      </c>
      <c r="AM37" s="601">
        <v>0.32813636010607827</v>
      </c>
      <c r="AN37" s="601">
        <v>0.31634530203599742</v>
      </c>
      <c r="AO37" s="601">
        <v>0.31990991319042811</v>
      </c>
      <c r="AP37" s="601">
        <v>8.1531297417078666E-2</v>
      </c>
      <c r="AQ37" s="601">
        <v>8.7818770861777237E-2</v>
      </c>
      <c r="AR37" s="655">
        <v>8.6214560922564895E-2</v>
      </c>
      <c r="AS37" s="601">
        <v>9.0979488845396944E-2</v>
      </c>
      <c r="AT37" s="602">
        <v>9.2367631256953978E-2</v>
      </c>
    </row>
    <row r="38" spans="2:46" x14ac:dyDescent="0.25">
      <c r="B38" s="587" t="s">
        <v>377</v>
      </c>
      <c r="C38" s="588">
        <v>5</v>
      </c>
      <c r="D38" s="589">
        <v>4.9327893796951572E-2</v>
      </c>
      <c r="E38" s="589">
        <v>4.7946617690080823E-2</v>
      </c>
      <c r="F38" s="640">
        <v>4.5474945387016845E-2</v>
      </c>
      <c r="G38" s="623">
        <v>4.6631567534837999E-2</v>
      </c>
      <c r="H38" s="623">
        <v>4.954229098452316E-2</v>
      </c>
      <c r="I38" s="589">
        <v>7.0409872054085096E-2</v>
      </c>
      <c r="J38" s="589">
        <v>6.328514922969998E-2</v>
      </c>
      <c r="K38" s="589">
        <v>6.4736576911428534E-2</v>
      </c>
      <c r="L38" s="589">
        <v>6.0737331110033252E-2</v>
      </c>
      <c r="M38" s="589">
        <v>6.6910758182241875E-2</v>
      </c>
      <c r="N38" s="589">
        <v>1.9056913007684422</v>
      </c>
      <c r="O38" s="589">
        <v>1.632056550439227</v>
      </c>
      <c r="P38" s="589">
        <v>1.8864516537709748</v>
      </c>
      <c r="Q38" s="589">
        <v>1.555876178643429</v>
      </c>
      <c r="R38" s="589">
        <v>1.6742683628820585</v>
      </c>
      <c r="S38" s="589">
        <v>1.2896549992493769</v>
      </c>
      <c r="T38" s="612">
        <v>1.183659771950943</v>
      </c>
      <c r="U38" s="646">
        <v>1.2600299606507008</v>
      </c>
      <c r="V38" s="623">
        <v>1.1241442567227058</v>
      </c>
      <c r="W38" s="634">
        <v>1.2178750008829713</v>
      </c>
      <c r="Y38" s="587" t="s">
        <v>377</v>
      </c>
      <c r="Z38" s="588">
        <v>5</v>
      </c>
      <c r="AA38" s="589">
        <v>2.3929340936051587E-2</v>
      </c>
      <c r="AB38" s="612">
        <v>2.7295899960711835E-2</v>
      </c>
      <c r="AC38" s="646">
        <v>2.1748706038076715E-2</v>
      </c>
      <c r="AD38" s="623">
        <v>2.7604215712489409E-2</v>
      </c>
      <c r="AE38" s="589">
        <v>2.7115555578994279E-2</v>
      </c>
      <c r="AF38" s="589">
        <v>3.1610977697239903E-2</v>
      </c>
      <c r="AG38" s="589">
        <v>3.4588908250293225E-2</v>
      </c>
      <c r="AH38" s="589">
        <v>2.9681096142806153E-2</v>
      </c>
      <c r="AI38" s="589">
        <v>3.4887364500133626E-2</v>
      </c>
      <c r="AJ38" s="589">
        <v>3.5113945436568275E-2</v>
      </c>
      <c r="AK38" s="589">
        <v>0.1947384994487949</v>
      </c>
      <c r="AL38" s="589">
        <v>0.18566000240590139</v>
      </c>
      <c r="AM38" s="589">
        <v>0.19532542809444728</v>
      </c>
      <c r="AN38" s="589">
        <v>0.18192103955533603</v>
      </c>
      <c r="AO38" s="589">
        <v>0.18653867283878833</v>
      </c>
      <c r="AP38" s="589">
        <v>6.9419595144033147E-2</v>
      </c>
      <c r="AQ38" s="589">
        <v>7.4936349594619769E-2</v>
      </c>
      <c r="AR38" s="585">
        <v>7.2986358485405536E-2</v>
      </c>
      <c r="AS38" s="589">
        <v>7.763353025123422E-2</v>
      </c>
      <c r="AT38" s="590">
        <v>7.8613272081611257E-2</v>
      </c>
    </row>
    <row r="39" spans="2:46" x14ac:dyDescent="0.25">
      <c r="B39" s="587" t="s">
        <v>377</v>
      </c>
      <c r="C39" s="588">
        <v>10</v>
      </c>
      <c r="D39" s="589">
        <v>3.1991310092964714E-2</v>
      </c>
      <c r="E39" s="589">
        <v>3.1859891925325831E-2</v>
      </c>
      <c r="F39" s="640">
        <v>2.9486169254031424E-2</v>
      </c>
      <c r="G39" s="623">
        <v>3.107163923631235E-2</v>
      </c>
      <c r="H39" s="623">
        <v>3.2654276032976548E-2</v>
      </c>
      <c r="I39" s="589">
        <v>4.566390082982643E-2</v>
      </c>
      <c r="J39" s="589">
        <v>4.2052142822026024E-2</v>
      </c>
      <c r="K39" s="589">
        <v>4.197550205924995E-2</v>
      </c>
      <c r="L39" s="589">
        <v>4.0470619801006871E-2</v>
      </c>
      <c r="M39" s="589">
        <v>4.410216652962682E-2</v>
      </c>
      <c r="N39" s="589">
        <v>1.10415014432467</v>
      </c>
      <c r="O39" s="589">
        <v>0.92587504212680594</v>
      </c>
      <c r="P39" s="589">
        <v>1.0871307181723247</v>
      </c>
      <c r="Q39" s="589">
        <v>0.88265627041769612</v>
      </c>
      <c r="R39" s="589">
        <v>0.95658507964841766</v>
      </c>
      <c r="S39" s="589">
        <v>0.75324757194682423</v>
      </c>
      <c r="T39" s="612">
        <v>0.69391553787495386</v>
      </c>
      <c r="U39" s="646">
        <v>0.72960643862490071</v>
      </c>
      <c r="V39" s="623">
        <v>0.6590244813048034</v>
      </c>
      <c r="W39" s="634">
        <v>0.71104154606740488</v>
      </c>
      <c r="Y39" s="587" t="s">
        <v>377</v>
      </c>
      <c r="Z39" s="588">
        <v>10</v>
      </c>
      <c r="AA39" s="589">
        <v>1.5335075402053297E-2</v>
      </c>
      <c r="AB39" s="612">
        <v>1.7371276619393201E-2</v>
      </c>
      <c r="AC39" s="646">
        <v>1.3988628330616884E-2</v>
      </c>
      <c r="AD39" s="623">
        <v>1.7578147008882661E-2</v>
      </c>
      <c r="AE39" s="589">
        <v>1.7327285514068865E-2</v>
      </c>
      <c r="AF39" s="589">
        <v>2.0257838601374589E-2</v>
      </c>
      <c r="AG39" s="589">
        <v>2.2012591416421135E-2</v>
      </c>
      <c r="AH39" s="589">
        <v>1.9090690805241971E-2</v>
      </c>
      <c r="AI39" s="589">
        <v>2.2215998756246438E-2</v>
      </c>
      <c r="AJ39" s="589">
        <v>2.2438388043805692E-2</v>
      </c>
      <c r="AK39" s="589">
        <v>0.11245590356726722</v>
      </c>
      <c r="AL39" s="589">
        <v>0.10325273018591451</v>
      </c>
      <c r="AM39" s="589">
        <v>0.11239601451146083</v>
      </c>
      <c r="AN39" s="589">
        <v>0.10117334541545457</v>
      </c>
      <c r="AO39" s="589">
        <v>0.1052462581092128</v>
      </c>
      <c r="AP39" s="589">
        <v>4.0257883470979985E-2</v>
      </c>
      <c r="AQ39" s="589">
        <v>4.341873395707857E-2</v>
      </c>
      <c r="AR39" s="585">
        <v>4.2465361387827777E-2</v>
      </c>
      <c r="AS39" s="589">
        <v>4.4981495973083381E-2</v>
      </c>
      <c r="AT39" s="590">
        <v>4.5610357519588272E-2</v>
      </c>
    </row>
    <row r="40" spans="2:46" x14ac:dyDescent="0.25">
      <c r="B40" s="587" t="s">
        <v>377</v>
      </c>
      <c r="C40" s="588">
        <v>15</v>
      </c>
      <c r="D40" s="589">
        <v>2.5371806664251709E-2</v>
      </c>
      <c r="E40" s="589">
        <v>2.6397916768057594E-2</v>
      </c>
      <c r="F40" s="640">
        <v>2.3392106234624507E-2</v>
      </c>
      <c r="G40" s="623">
        <v>2.5789014894169231E-2</v>
      </c>
      <c r="H40" s="623">
        <v>2.6640224520097514E-2</v>
      </c>
      <c r="I40" s="589">
        <v>3.6215324099674949E-2</v>
      </c>
      <c r="J40" s="589">
        <v>3.4842835271888972E-2</v>
      </c>
      <c r="K40" s="589">
        <v>3.3300202374963554E-2</v>
      </c>
      <c r="L40" s="589">
        <v>3.3590033949824356E-2</v>
      </c>
      <c r="M40" s="589">
        <v>3.5979717234750561E-2</v>
      </c>
      <c r="N40" s="589">
        <v>0.84405052073051778</v>
      </c>
      <c r="O40" s="589">
        <v>0.63332463972254649</v>
      </c>
      <c r="P40" s="589">
        <v>0.83040211082529269</v>
      </c>
      <c r="Q40" s="589">
        <v>0.6037579851097179</v>
      </c>
      <c r="R40" s="589">
        <v>0.68671545797918554</v>
      </c>
      <c r="S40" s="589">
        <v>0.60357780405268358</v>
      </c>
      <c r="T40" s="612">
        <v>0.55707373385694825</v>
      </c>
      <c r="U40" s="646">
        <v>0.58198909425352785</v>
      </c>
      <c r="V40" s="623">
        <v>0.52906349891132376</v>
      </c>
      <c r="W40" s="634">
        <v>0.56961790403821877</v>
      </c>
      <c r="Y40" s="587" t="s">
        <v>377</v>
      </c>
      <c r="Z40" s="588">
        <v>15</v>
      </c>
      <c r="AA40" s="589">
        <v>1.2368456309549521E-2</v>
      </c>
      <c r="AB40" s="612">
        <v>1.3992674185766871E-2</v>
      </c>
      <c r="AC40" s="646">
        <v>1.1272306168150921E-2</v>
      </c>
      <c r="AD40" s="623">
        <v>1.4165075167023804E-2</v>
      </c>
      <c r="AE40" s="589">
        <v>1.396290746086434E-2</v>
      </c>
      <c r="AF40" s="589">
        <v>1.6338895316645053E-2</v>
      </c>
      <c r="AG40" s="589">
        <v>1.7731282877075545E-2</v>
      </c>
      <c r="AH40" s="589">
        <v>1.5383646389917429E-2</v>
      </c>
      <c r="AI40" s="589">
        <v>1.7902415546628265E-2</v>
      </c>
      <c r="AJ40" s="589">
        <v>1.8081605198473589E-2</v>
      </c>
      <c r="AK40" s="589">
        <v>8.4264507294905366E-2</v>
      </c>
      <c r="AL40" s="589">
        <v>7.1950935746371167E-2</v>
      </c>
      <c r="AM40" s="589">
        <v>8.4261306967847088E-2</v>
      </c>
      <c r="AN40" s="589">
        <v>7.0501899069043861E-2</v>
      </c>
      <c r="AO40" s="589">
        <v>7.5658411353118765E-2</v>
      </c>
      <c r="AP40" s="589">
        <v>2.8152320387103327E-2</v>
      </c>
      <c r="AQ40" s="589">
        <v>3.0309727964935626E-2</v>
      </c>
      <c r="AR40" s="585">
        <v>2.9835766974129787E-2</v>
      </c>
      <c r="AS40" s="589">
        <v>3.1400646146890657E-2</v>
      </c>
      <c r="AT40" s="590">
        <v>3.190705150717154E-2</v>
      </c>
    </row>
    <row r="41" spans="2:46" x14ac:dyDescent="0.25">
      <c r="B41" s="587" t="s">
        <v>377</v>
      </c>
      <c r="C41" s="588">
        <v>20</v>
      </c>
      <c r="D41" s="589">
        <v>2.0099660102124484E-2</v>
      </c>
      <c r="E41" s="589">
        <v>2.288249566687332E-2</v>
      </c>
      <c r="F41" s="640">
        <v>1.8697726572519738E-2</v>
      </c>
      <c r="G41" s="623">
        <v>2.2365912634093332E-2</v>
      </c>
      <c r="H41" s="623">
        <v>2.2420102920568695E-2</v>
      </c>
      <c r="I41" s="589">
        <v>2.8689943705008613E-2</v>
      </c>
      <c r="J41" s="589">
        <v>3.0202801006454061E-2</v>
      </c>
      <c r="K41" s="589">
        <v>2.6617444045933112E-2</v>
      </c>
      <c r="L41" s="589">
        <v>2.9131464221530203E-2</v>
      </c>
      <c r="M41" s="589">
        <v>3.0280111297392102E-2</v>
      </c>
      <c r="N41" s="589">
        <v>0.70533610911841205</v>
      </c>
      <c r="O41" s="589">
        <v>0.55136947918302848</v>
      </c>
      <c r="P41" s="589">
        <v>0.69515165323930239</v>
      </c>
      <c r="Q41" s="589">
        <v>0.52563412319528613</v>
      </c>
      <c r="R41" s="589">
        <v>0.58739907780108658</v>
      </c>
      <c r="S41" s="589">
        <v>0.51088463871429934</v>
      </c>
      <c r="T41" s="612">
        <v>0.47155483370701812</v>
      </c>
      <c r="U41" s="646">
        <v>0.49252552410871048</v>
      </c>
      <c r="V41" s="623">
        <v>0.44784469298963447</v>
      </c>
      <c r="W41" s="634">
        <v>0.48213480315870244</v>
      </c>
      <c r="Y41" s="587" t="s">
        <v>377</v>
      </c>
      <c r="Z41" s="588">
        <v>20</v>
      </c>
      <c r="AA41" s="589">
        <v>9.7391793223063194E-3</v>
      </c>
      <c r="AB41" s="612">
        <v>1.2059368681297672E-2</v>
      </c>
      <c r="AC41" s="646">
        <v>8.9365619302924758E-3</v>
      </c>
      <c r="AD41" s="623">
        <v>1.2209074833522413E-2</v>
      </c>
      <c r="AE41" s="589">
        <v>1.1651709644089703E-2</v>
      </c>
      <c r="AF41" s="589">
        <v>1.2865585440467368E-2</v>
      </c>
      <c r="AG41" s="589">
        <v>1.5281430451981586E-2</v>
      </c>
      <c r="AH41" s="589">
        <v>1.2195987815310443E-2</v>
      </c>
      <c r="AI41" s="589">
        <v>1.5430340364054931E-2</v>
      </c>
      <c r="AJ41" s="589">
        <v>1.5088663608362517E-2</v>
      </c>
      <c r="AK41" s="589">
        <v>6.9274204640501963E-2</v>
      </c>
      <c r="AL41" s="589">
        <v>6.0873324292319751E-2</v>
      </c>
      <c r="AM41" s="589">
        <v>6.9401734363072676E-2</v>
      </c>
      <c r="AN41" s="589">
        <v>5.9647469429249644E-2</v>
      </c>
      <c r="AO41" s="589">
        <v>6.3261766895923999E-2</v>
      </c>
      <c r="AP41" s="589">
        <v>2.1366752144631622E-2</v>
      </c>
      <c r="AQ41" s="589">
        <v>2.2954862398493533E-2</v>
      </c>
      <c r="AR41" s="585">
        <v>2.2765858177994876E-2</v>
      </c>
      <c r="AS41" s="589">
        <v>2.3781050516739052E-2</v>
      </c>
      <c r="AT41" s="590">
        <v>2.4224581052924875E-2</v>
      </c>
    </row>
    <row r="42" spans="2:46" x14ac:dyDescent="0.25">
      <c r="B42" s="587" t="s">
        <v>377</v>
      </c>
      <c r="C42" s="588">
        <v>25</v>
      </c>
      <c r="D42" s="589">
        <v>1.723660245186814E-2</v>
      </c>
      <c r="E42" s="589">
        <v>1.9281905435349817E-2</v>
      </c>
      <c r="F42" s="640">
        <v>1.6170808287985571E-2</v>
      </c>
      <c r="G42" s="623">
        <v>1.8822730058269774E-2</v>
      </c>
      <c r="H42" s="623">
        <v>1.9042883972546585E-2</v>
      </c>
      <c r="I42" s="589">
        <v>2.4603259532604789E-2</v>
      </c>
      <c r="J42" s="589">
        <v>2.5450351280180562E-2</v>
      </c>
      <c r="K42" s="589">
        <v>2.3020209602143224E-2</v>
      </c>
      <c r="L42" s="589">
        <v>2.4516490617429946E-2</v>
      </c>
      <c r="M42" s="589">
        <v>2.5718911646165115E-2</v>
      </c>
      <c r="N42" s="589">
        <v>0.60243683695714612</v>
      </c>
      <c r="O42" s="589">
        <v>0.49440054223466562</v>
      </c>
      <c r="P42" s="589">
        <v>0.59620736346895864</v>
      </c>
      <c r="Q42" s="589">
        <v>0.47132814099822812</v>
      </c>
      <c r="R42" s="589">
        <v>0.51641132400529788</v>
      </c>
      <c r="S42" s="589">
        <v>0.4619678930984229</v>
      </c>
      <c r="T42" s="612">
        <v>0.42632756171960628</v>
      </c>
      <c r="U42" s="646">
        <v>0.4455644649772984</v>
      </c>
      <c r="V42" s="623">
        <v>0.4048920606484272</v>
      </c>
      <c r="W42" s="634">
        <v>0.43598244946975045</v>
      </c>
      <c r="Y42" s="587" t="s">
        <v>377</v>
      </c>
      <c r="Z42" s="588">
        <v>25</v>
      </c>
      <c r="AA42" s="589">
        <v>8.0467911938411595E-3</v>
      </c>
      <c r="AB42" s="612">
        <v>1.0470213578491282E-2</v>
      </c>
      <c r="AC42" s="646">
        <v>7.4346667308323256E-3</v>
      </c>
      <c r="AD42" s="623">
        <v>1.0595887942066711E-2</v>
      </c>
      <c r="AE42" s="589">
        <v>9.952654963641689E-3</v>
      </c>
      <c r="AF42" s="589">
        <v>1.0629918209725279E-2</v>
      </c>
      <c r="AG42" s="589">
        <v>1.3267679664296546E-2</v>
      </c>
      <c r="AH42" s="589">
        <v>1.0146307446577213E-2</v>
      </c>
      <c r="AI42" s="589">
        <v>1.3391527174242444E-2</v>
      </c>
      <c r="AJ42" s="589">
        <v>1.2888431598762278E-2</v>
      </c>
      <c r="AK42" s="589">
        <v>5.8711154190479002E-2</v>
      </c>
      <c r="AL42" s="589">
        <v>5.3505406919940497E-2</v>
      </c>
      <c r="AM42" s="589">
        <v>5.9019134827455397E-2</v>
      </c>
      <c r="AN42" s="589">
        <v>5.24279868476299E-2</v>
      </c>
      <c r="AO42" s="589">
        <v>5.4813644569759908E-2</v>
      </c>
      <c r="AP42" s="589">
        <v>1.9136098788818837E-2</v>
      </c>
      <c r="AQ42" s="589">
        <v>2.0564727989237169E-2</v>
      </c>
      <c r="AR42" s="585">
        <v>2.0373520399530998E-2</v>
      </c>
      <c r="AS42" s="589">
        <v>2.1304897172542844E-2</v>
      </c>
      <c r="AT42" s="590">
        <v>2.1694517889220569E-2</v>
      </c>
    </row>
    <row r="43" spans="2:46" x14ac:dyDescent="0.25">
      <c r="B43" s="587" t="s">
        <v>377</v>
      </c>
      <c r="C43" s="588">
        <v>30</v>
      </c>
      <c r="D43" s="589">
        <v>1.5583337016118387E-2</v>
      </c>
      <c r="E43" s="589">
        <v>1.6270101483763705E-2</v>
      </c>
      <c r="F43" s="640">
        <v>1.5245857223636593E-2</v>
      </c>
      <c r="G43" s="623">
        <v>1.5902798101358903E-2</v>
      </c>
      <c r="H43" s="623">
        <v>1.6692728146034216E-2</v>
      </c>
      <c r="I43" s="589">
        <v>2.2243414040686076E-2</v>
      </c>
      <c r="J43" s="589">
        <v>2.1475045581689983E-2</v>
      </c>
      <c r="K43" s="589">
        <v>2.1703480902263782E-2</v>
      </c>
      <c r="L43" s="589">
        <v>2.0713297127243988E-2</v>
      </c>
      <c r="M43" s="589">
        <v>2.254484147150403E-2</v>
      </c>
      <c r="N43" s="589">
        <v>0.55732606107448479</v>
      </c>
      <c r="O43" s="589">
        <v>0.46475297765426121</v>
      </c>
      <c r="P43" s="589">
        <v>0.55270020518126761</v>
      </c>
      <c r="Q43" s="589">
        <v>0.44306682581847284</v>
      </c>
      <c r="R43" s="589">
        <v>0.48246944591268176</v>
      </c>
      <c r="S43" s="589">
        <v>0.42470813135596919</v>
      </c>
      <c r="T43" s="612">
        <v>0.39152310258210782</v>
      </c>
      <c r="U43" s="646">
        <v>0.41072868793222417</v>
      </c>
      <c r="V43" s="623">
        <v>0.37183699293552291</v>
      </c>
      <c r="W43" s="634">
        <v>0.4008848640335646</v>
      </c>
      <c r="Y43" s="587" t="s">
        <v>377</v>
      </c>
      <c r="Z43" s="588">
        <v>30</v>
      </c>
      <c r="AA43" s="589">
        <v>6.964371786197813E-3</v>
      </c>
      <c r="AB43" s="612">
        <v>8.6282009763844272E-3</v>
      </c>
      <c r="AC43" s="646">
        <v>6.6132330028729142E-3</v>
      </c>
      <c r="AD43" s="623">
        <v>8.7338329656785757E-3</v>
      </c>
      <c r="AE43" s="589">
        <v>8.4190071052849744E-3</v>
      </c>
      <c r="AF43" s="589">
        <v>9.2000277733144866E-3</v>
      </c>
      <c r="AG43" s="589">
        <v>1.0933512079352907E-2</v>
      </c>
      <c r="AH43" s="589">
        <v>9.0252727784998713E-3</v>
      </c>
      <c r="AI43" s="589">
        <v>1.1038184070524096E-2</v>
      </c>
      <c r="AJ43" s="589">
        <v>1.090239715958724E-2</v>
      </c>
      <c r="AK43" s="589">
        <v>5.3733354788866233E-2</v>
      </c>
      <c r="AL43" s="589">
        <v>4.9339779875032422E-2</v>
      </c>
      <c r="AM43" s="589">
        <v>5.4097807335604264E-2</v>
      </c>
      <c r="AN43" s="589">
        <v>4.8346287659638901E-2</v>
      </c>
      <c r="AO43" s="589">
        <v>5.0411923495205957E-2</v>
      </c>
      <c r="AP43" s="589">
        <v>1.6661266616885089E-2</v>
      </c>
      <c r="AQ43" s="589">
        <v>1.7878754289652216E-2</v>
      </c>
      <c r="AR43" s="585">
        <v>1.7803497934341567E-2</v>
      </c>
      <c r="AS43" s="589">
        <v>1.8522226180084842E-2</v>
      </c>
      <c r="AT43" s="590">
        <v>1.8893095132543048E-2</v>
      </c>
    </row>
    <row r="44" spans="2:46" x14ac:dyDescent="0.25">
      <c r="B44" s="587" t="s">
        <v>377</v>
      </c>
      <c r="C44" s="588">
        <v>35</v>
      </c>
      <c r="D44" s="589">
        <v>1.4697109415138096E-2</v>
      </c>
      <c r="E44" s="589">
        <v>1.4186747669091329E-2</v>
      </c>
      <c r="F44" s="640">
        <v>1.6049293076341956E-2</v>
      </c>
      <c r="G44" s="623">
        <v>1.3727762095560678E-2</v>
      </c>
      <c r="H44" s="623">
        <v>1.5492017249601458E-2</v>
      </c>
      <c r="I44" s="589">
        <v>2.0978426481057542E-2</v>
      </c>
      <c r="J44" s="589">
        <v>1.8725209129992117E-2</v>
      </c>
      <c r="K44" s="589">
        <v>2.2847224702930543E-2</v>
      </c>
      <c r="L44" s="589">
        <v>1.7880326051122303E-2</v>
      </c>
      <c r="M44" s="589">
        <v>2.0923187025546065E-2</v>
      </c>
      <c r="N44" s="589">
        <v>0.46195638323013116</v>
      </c>
      <c r="O44" s="589">
        <v>0.39564092601123529</v>
      </c>
      <c r="P44" s="589">
        <v>0.46367811073554116</v>
      </c>
      <c r="Q44" s="589">
        <v>0.37717927758183845</v>
      </c>
      <c r="R44" s="589">
        <v>0.40774656842221141</v>
      </c>
      <c r="S44" s="589">
        <v>0.33558376288387115</v>
      </c>
      <c r="T44" s="612">
        <v>0.30748445114985745</v>
      </c>
      <c r="U44" s="646">
        <v>0.32947137714819247</v>
      </c>
      <c r="V44" s="623">
        <v>0.29202356916847377</v>
      </c>
      <c r="W44" s="634">
        <v>0.3170584073419726</v>
      </c>
      <c r="Y44" s="587" t="s">
        <v>377</v>
      </c>
      <c r="Z44" s="588">
        <v>35</v>
      </c>
      <c r="AA44" s="589">
        <v>6.2273845294062626E-3</v>
      </c>
      <c r="AB44" s="612">
        <v>7.2867267602654906E-3</v>
      </c>
      <c r="AC44" s="646">
        <v>6.3392182414033346E-3</v>
      </c>
      <c r="AD44" s="623">
        <v>7.3369301148469897E-3</v>
      </c>
      <c r="AE44" s="589">
        <v>7.4125499823629029E-3</v>
      </c>
      <c r="AF44" s="589">
        <v>8.2264578032996017E-3</v>
      </c>
      <c r="AG44" s="589">
        <v>9.2336183719368622E-3</v>
      </c>
      <c r="AH44" s="589">
        <v>8.6513168077176263E-3</v>
      </c>
      <c r="AI44" s="589">
        <v>9.2727197140711898E-3</v>
      </c>
      <c r="AJ44" s="589">
        <v>9.5990611318383344E-3</v>
      </c>
      <c r="AK44" s="589">
        <v>4.4149094021967122E-2</v>
      </c>
      <c r="AL44" s="589">
        <v>4.1559245952107519E-2</v>
      </c>
      <c r="AM44" s="589">
        <v>4.4933487906638932E-2</v>
      </c>
      <c r="AN44" s="589">
        <v>4.072241098497615E-2</v>
      </c>
      <c r="AO44" s="589">
        <v>4.2175163170350451E-2</v>
      </c>
      <c r="AP44" s="589">
        <v>1.3139909772324465E-2</v>
      </c>
      <c r="AQ44" s="589">
        <v>1.4022794793995926E-2</v>
      </c>
      <c r="AR44" s="585">
        <v>1.4230913575220093E-2</v>
      </c>
      <c r="AS44" s="589">
        <v>1.4527469370380958E-2</v>
      </c>
      <c r="AT44" s="590">
        <v>1.4912685047569188E-2</v>
      </c>
    </row>
    <row r="45" spans="2:46" x14ac:dyDescent="0.25">
      <c r="B45" s="587" t="s">
        <v>377</v>
      </c>
      <c r="C45" s="588">
        <v>40</v>
      </c>
      <c r="D45" s="589">
        <v>1.3994147638144692E-2</v>
      </c>
      <c r="E45" s="589">
        <v>1.2634491249275299E-2</v>
      </c>
      <c r="F45" s="640">
        <v>1.6617194332497753E-2</v>
      </c>
      <c r="G45" s="623">
        <v>1.2071034035725726E-2</v>
      </c>
      <c r="H45" s="623">
        <v>1.4566614232645264E-2</v>
      </c>
      <c r="I45" s="589">
        <v>1.9975029721796829E-2</v>
      </c>
      <c r="J45" s="589">
        <v>1.6676372655106839E-2</v>
      </c>
      <c r="K45" s="589">
        <v>2.3655669507742172E-2</v>
      </c>
      <c r="L45" s="589">
        <v>1.5722447900140088E-2</v>
      </c>
      <c r="M45" s="589">
        <v>1.9673357511040646E-2</v>
      </c>
      <c r="N45" s="589">
        <v>0.41577386537329003</v>
      </c>
      <c r="O45" s="589">
        <v>0.35898131392027915</v>
      </c>
      <c r="P45" s="589">
        <v>0.42265042996429336</v>
      </c>
      <c r="Q45" s="589">
        <v>0.34222950011714937</v>
      </c>
      <c r="R45" s="589">
        <v>0.37027221299036989</v>
      </c>
      <c r="S45" s="589">
        <v>0.30501872075269115</v>
      </c>
      <c r="T45" s="612">
        <v>0.27806576329235566</v>
      </c>
      <c r="U45" s="646">
        <v>0.30317005300895394</v>
      </c>
      <c r="V45" s="623">
        <v>0.26408361539504477</v>
      </c>
      <c r="W45" s="634">
        <v>0.2884038421007476</v>
      </c>
      <c r="Y45" s="587" t="s">
        <v>377</v>
      </c>
      <c r="Z45" s="588">
        <v>40</v>
      </c>
      <c r="AA45" s="589">
        <v>5.6549128450588222E-3</v>
      </c>
      <c r="AB45" s="612">
        <v>6.2768221933753353E-3</v>
      </c>
      <c r="AC45" s="646">
        <v>6.1142349458742215E-3</v>
      </c>
      <c r="AD45" s="623">
        <v>6.2761649939885571E-3</v>
      </c>
      <c r="AE45" s="589">
        <v>6.6421165183408164E-3</v>
      </c>
      <c r="AF45" s="589">
        <v>7.4702150929563107E-3</v>
      </c>
      <c r="AG45" s="589">
        <v>7.9538841826998653E-3</v>
      </c>
      <c r="AH45" s="589">
        <v>8.3442755146202873E-3</v>
      </c>
      <c r="AI45" s="589">
        <v>7.9320803057335472E-3</v>
      </c>
      <c r="AJ45" s="589">
        <v>8.6013696576818909E-3</v>
      </c>
      <c r="AK45" s="589">
        <v>3.9300296900821798E-2</v>
      </c>
      <c r="AL45" s="589">
        <v>3.7138481614588249E-2</v>
      </c>
      <c r="AM45" s="589">
        <v>4.0426820259762887E-2</v>
      </c>
      <c r="AN45" s="589">
        <v>3.6390641062367585E-2</v>
      </c>
      <c r="AO45" s="589">
        <v>3.7760359932623958E-2</v>
      </c>
      <c r="AP45" s="589">
        <v>1.13747731365537E-2</v>
      </c>
      <c r="AQ45" s="589">
        <v>1.2071607216275185E-2</v>
      </c>
      <c r="AR45" s="585">
        <v>1.2484895369420943E-2</v>
      </c>
      <c r="AS45" s="589">
        <v>1.2506035349788698E-2</v>
      </c>
      <c r="AT45" s="590">
        <v>1.2920337014117956E-2</v>
      </c>
    </row>
    <row r="46" spans="2:46" x14ac:dyDescent="0.25">
      <c r="B46" s="587" t="s">
        <v>377</v>
      </c>
      <c r="C46" s="588">
        <v>45</v>
      </c>
      <c r="D46" s="589">
        <v>1.3350751042932337E-2</v>
      </c>
      <c r="E46" s="589">
        <v>1.1410206879714552E-2</v>
      </c>
      <c r="F46" s="640">
        <v>1.678308142694605E-2</v>
      </c>
      <c r="G46" s="623">
        <v>1.0797382249256401E-2</v>
      </c>
      <c r="H46" s="623">
        <v>1.3751798260073216E-2</v>
      </c>
      <c r="I46" s="589">
        <v>1.9056655380994641E-2</v>
      </c>
      <c r="J46" s="589">
        <v>1.506042928391739E-2</v>
      </c>
      <c r="K46" s="589">
        <v>2.3891820701701205E-2</v>
      </c>
      <c r="L46" s="589">
        <v>1.4063524248991557E-2</v>
      </c>
      <c r="M46" s="589">
        <v>1.8572884492527465E-2</v>
      </c>
      <c r="N46" s="589">
        <v>0.37876846639258022</v>
      </c>
      <c r="O46" s="589">
        <v>0.32993685692900221</v>
      </c>
      <c r="P46" s="589">
        <v>0.38886772332852115</v>
      </c>
      <c r="Q46" s="589">
        <v>0.31453975116795979</v>
      </c>
      <c r="R46" s="589">
        <v>0.3401745122381406</v>
      </c>
      <c r="S46" s="589">
        <v>0.28113230272792056</v>
      </c>
      <c r="T46" s="612">
        <v>0.25513285636901095</v>
      </c>
      <c r="U46" s="646">
        <v>0.28246509009026283</v>
      </c>
      <c r="V46" s="623">
        <v>0.24230348597811868</v>
      </c>
      <c r="W46" s="634">
        <v>0.2660015449514801</v>
      </c>
      <c r="Y46" s="587" t="s">
        <v>377</v>
      </c>
      <c r="Z46" s="588">
        <v>45</v>
      </c>
      <c r="AA46" s="589">
        <v>5.177898573906616E-3</v>
      </c>
      <c r="AB46" s="612">
        <v>5.4793637604295719E-3</v>
      </c>
      <c r="AC46" s="646">
        <v>5.8609770037094293E-3</v>
      </c>
      <c r="AD46" s="623">
        <v>5.4316481944220339E-3</v>
      </c>
      <c r="AE46" s="589">
        <v>5.9996399470643655E-3</v>
      </c>
      <c r="AF46" s="589">
        <v>6.8400728952687888E-3</v>
      </c>
      <c r="AG46" s="589">
        <v>6.9433581839130403E-3</v>
      </c>
      <c r="AH46" s="589">
        <v>7.9986469831038829E-3</v>
      </c>
      <c r="AI46" s="589">
        <v>6.8647445871667205E-3</v>
      </c>
      <c r="AJ46" s="589">
        <v>7.7693790609060917E-3</v>
      </c>
      <c r="AK46" s="589">
        <v>3.5452740672925226E-2</v>
      </c>
      <c r="AL46" s="589">
        <v>3.3648700568053046E-2</v>
      </c>
      <c r="AM46" s="589">
        <v>3.677271277754101E-2</v>
      </c>
      <c r="AN46" s="589">
        <v>3.2971116119516586E-2</v>
      </c>
      <c r="AO46" s="589">
        <v>3.4243904147059558E-2</v>
      </c>
      <c r="AP46" s="589">
        <v>9.9896737876071905E-3</v>
      </c>
      <c r="AQ46" s="589">
        <v>1.0544130560829292E-2</v>
      </c>
      <c r="AR46" s="585">
        <v>1.1106087036344329E-2</v>
      </c>
      <c r="AS46" s="589">
        <v>1.0923564970915551E-2</v>
      </c>
      <c r="AT46" s="590">
        <v>1.1356414255081002E-2</v>
      </c>
    </row>
    <row r="47" spans="2:46" x14ac:dyDescent="0.25">
      <c r="B47" s="587" t="s">
        <v>377</v>
      </c>
      <c r="C47" s="588">
        <v>50</v>
      </c>
      <c r="D47" s="589">
        <v>1.2418602488059649E-2</v>
      </c>
      <c r="E47" s="589">
        <v>1.046049195956089E-2</v>
      </c>
      <c r="F47" s="640">
        <v>1.6063685253510214E-2</v>
      </c>
      <c r="G47" s="623">
        <v>9.8195800292809748E-3</v>
      </c>
      <c r="H47" s="623">
        <v>1.2808515797426149E-2</v>
      </c>
      <c r="I47" s="589">
        <v>1.7726120962595401E-2</v>
      </c>
      <c r="J47" s="589">
        <v>1.380689246853466E-2</v>
      </c>
      <c r="K47" s="589">
        <v>2.286771291410367E-2</v>
      </c>
      <c r="L47" s="589">
        <v>1.2789942846213194E-2</v>
      </c>
      <c r="M47" s="589">
        <v>1.7298907381225838E-2</v>
      </c>
      <c r="N47" s="589">
        <v>0.34333266439335269</v>
      </c>
      <c r="O47" s="589">
        <v>0.30988396305078758</v>
      </c>
      <c r="P47" s="589">
        <v>0.35615717294839516</v>
      </c>
      <c r="Q47" s="589">
        <v>0.29542587024899342</v>
      </c>
      <c r="R47" s="589">
        <v>0.3158709953539342</v>
      </c>
      <c r="S47" s="589">
        <v>0.24583852768800377</v>
      </c>
      <c r="T47" s="612">
        <v>0.2217033073171461</v>
      </c>
      <c r="U47" s="646">
        <v>0.25067859001391596</v>
      </c>
      <c r="V47" s="623">
        <v>0.21055447578887865</v>
      </c>
      <c r="W47" s="634">
        <v>0.23282905382219038</v>
      </c>
      <c r="Y47" s="587" t="s">
        <v>377</v>
      </c>
      <c r="Z47" s="588">
        <v>50</v>
      </c>
      <c r="AA47" s="589">
        <v>4.6546276594702993E-3</v>
      </c>
      <c r="AB47" s="612">
        <v>4.8582508106157348E-3</v>
      </c>
      <c r="AC47" s="646">
        <v>5.419451207117917E-3</v>
      </c>
      <c r="AD47" s="623">
        <v>4.7347331798722643E-3</v>
      </c>
      <c r="AE47" s="589">
        <v>5.3750212647574345E-3</v>
      </c>
      <c r="AF47" s="589">
        <v>6.1488250564726869E-3</v>
      </c>
      <c r="AG47" s="589">
        <v>6.156294234195241E-3</v>
      </c>
      <c r="AH47" s="589">
        <v>7.3960837963460988E-3</v>
      </c>
      <c r="AI47" s="589">
        <v>5.9839541893720377E-3</v>
      </c>
      <c r="AJ47" s="589">
        <v>6.960513969969967E-3</v>
      </c>
      <c r="AK47" s="589">
        <v>3.2074150229600987E-2</v>
      </c>
      <c r="AL47" s="589">
        <v>3.1372090888808879E-2</v>
      </c>
      <c r="AM47" s="589">
        <v>3.3549116875948276E-2</v>
      </c>
      <c r="AN47" s="589">
        <v>3.0740401528428381E-2</v>
      </c>
      <c r="AO47" s="589">
        <v>3.161926759845677E-2</v>
      </c>
      <c r="AP47" s="589">
        <v>8.3702223241779086E-3</v>
      </c>
      <c r="AQ47" s="589">
        <v>8.7668005447444023E-3</v>
      </c>
      <c r="AR47" s="585">
        <v>9.4727999108703675E-3</v>
      </c>
      <c r="AS47" s="589">
        <v>9.0822543927962743E-3</v>
      </c>
      <c r="AT47" s="590">
        <v>9.5264625310054456E-3</v>
      </c>
    </row>
    <row r="48" spans="2:46" x14ac:dyDescent="0.25">
      <c r="B48" s="587" t="s">
        <v>377</v>
      </c>
      <c r="C48" s="588">
        <v>55</v>
      </c>
      <c r="D48" s="589">
        <v>1.1302761354549534E-2</v>
      </c>
      <c r="E48" s="589">
        <v>9.8410495653732995E-3</v>
      </c>
      <c r="F48" s="640">
        <v>1.4469186733025876E-2</v>
      </c>
      <c r="G48" s="623">
        <v>9.234450446579414E-3</v>
      </c>
      <c r="H48" s="623">
        <v>1.1804330007961163E-2</v>
      </c>
      <c r="I48" s="589">
        <v>1.6133386600845945E-2</v>
      </c>
      <c r="J48" s="589">
        <v>1.2989285174340177E-2</v>
      </c>
      <c r="K48" s="589">
        <v>2.0597839355641665E-2</v>
      </c>
      <c r="L48" s="589">
        <v>1.2027815148484196E-2</v>
      </c>
      <c r="M48" s="589">
        <v>1.5942675539829452E-2</v>
      </c>
      <c r="N48" s="589">
        <v>0.31401566965376698</v>
      </c>
      <c r="O48" s="589">
        <v>0.29345415295295751</v>
      </c>
      <c r="P48" s="589">
        <v>0.32834037457894111</v>
      </c>
      <c r="Q48" s="589">
        <v>0.27976541755626549</v>
      </c>
      <c r="R48" s="589">
        <v>0.29563785512992696</v>
      </c>
      <c r="S48" s="589">
        <v>0.20804673392508427</v>
      </c>
      <c r="T48" s="612">
        <v>0.18615357346415357</v>
      </c>
      <c r="U48" s="646">
        <v>0.21599978683008159</v>
      </c>
      <c r="V48" s="623">
        <v>0.17679187533164012</v>
      </c>
      <c r="W48" s="634">
        <v>0.19727058466211225</v>
      </c>
      <c r="Y48" s="587" t="s">
        <v>377</v>
      </c>
      <c r="Z48" s="588">
        <v>55</v>
      </c>
      <c r="AA48" s="589">
        <v>4.1302086348337843E-3</v>
      </c>
      <c r="AB48" s="612">
        <v>4.4448735769742802E-3</v>
      </c>
      <c r="AC48" s="646">
        <v>4.8149802978660347E-3</v>
      </c>
      <c r="AD48" s="623">
        <v>4.2898566061552847E-3</v>
      </c>
      <c r="AE48" s="589">
        <v>4.8328183880073736E-3</v>
      </c>
      <c r="AF48" s="589">
        <v>5.4560605488293556E-3</v>
      </c>
      <c r="AG48" s="589">
        <v>5.6324695122492909E-3</v>
      </c>
      <c r="AH48" s="589">
        <v>6.5711446417304814E-3</v>
      </c>
      <c r="AI48" s="589">
        <v>5.4217005341155831E-3</v>
      </c>
      <c r="AJ48" s="589">
        <v>6.2583752225529336E-3</v>
      </c>
      <c r="AK48" s="589">
        <v>2.9279108845761244E-2</v>
      </c>
      <c r="AL48" s="589">
        <v>2.9501952519017282E-2</v>
      </c>
      <c r="AM48" s="589">
        <v>3.0822001155096864E-2</v>
      </c>
      <c r="AN48" s="589">
        <v>2.8907962312934358E-2</v>
      </c>
      <c r="AO48" s="589">
        <v>2.9437249580819891E-2</v>
      </c>
      <c r="AP48" s="589">
        <v>6.7899106153563619E-3</v>
      </c>
      <c r="AQ48" s="589">
        <v>7.0421411866224649E-3</v>
      </c>
      <c r="AR48" s="585">
        <v>7.8552347562032866E-3</v>
      </c>
      <c r="AS48" s="589">
        <v>7.2955105031023183E-3</v>
      </c>
      <c r="AT48" s="590">
        <v>7.7391983740000263E-3</v>
      </c>
    </row>
    <row r="49" spans="1:70" x14ac:dyDescent="0.25">
      <c r="B49" s="587" t="s">
        <v>377</v>
      </c>
      <c r="C49" s="588">
        <v>60</v>
      </c>
      <c r="D49" s="589">
        <v>1.0554030504355213E-2</v>
      </c>
      <c r="E49" s="589">
        <v>9.3164251024329767E-3</v>
      </c>
      <c r="F49" s="640">
        <v>1.33074419582008E-2</v>
      </c>
      <c r="G49" s="623">
        <v>9.006332753485391E-3</v>
      </c>
      <c r="H49" s="623">
        <v>1.1158997571134732E-2</v>
      </c>
      <c r="I49" s="589">
        <v>1.5064659774962567E-2</v>
      </c>
      <c r="J49" s="589">
        <v>1.2296828875517703E-2</v>
      </c>
      <c r="K49" s="589">
        <v>1.8944019228385709E-2</v>
      </c>
      <c r="L49" s="589">
        <v>1.1730693250380352E-2</v>
      </c>
      <c r="M49" s="589">
        <v>1.5071103358374634E-2</v>
      </c>
      <c r="N49" s="589">
        <v>0.288188869188925</v>
      </c>
      <c r="O49" s="589">
        <v>0.26932585959874478</v>
      </c>
      <c r="P49" s="589">
        <v>0.30335416636298701</v>
      </c>
      <c r="Q49" s="589">
        <v>0.25676426722626833</v>
      </c>
      <c r="R49" s="589">
        <v>0.27192109030916695</v>
      </c>
      <c r="S49" s="589">
        <v>0.1877791087928157</v>
      </c>
      <c r="T49" s="612">
        <v>0.16732991525696692</v>
      </c>
      <c r="U49" s="646">
        <v>0.19676863681980122</v>
      </c>
      <c r="V49" s="623">
        <v>0.15891454739863412</v>
      </c>
      <c r="W49" s="634">
        <v>0.17816273014034795</v>
      </c>
      <c r="Y49" s="587" t="s">
        <v>377</v>
      </c>
      <c r="Z49" s="588">
        <v>60</v>
      </c>
      <c r="AA49" s="589">
        <v>3.7513849711297491E-3</v>
      </c>
      <c r="AB49" s="612">
        <v>4.0944494053319095E-3</v>
      </c>
      <c r="AC49" s="646">
        <v>4.3534110259789175E-3</v>
      </c>
      <c r="AD49" s="623">
        <v>4.0709853861622064E-3</v>
      </c>
      <c r="AE49" s="589">
        <v>4.4675130202747994E-3</v>
      </c>
      <c r="AF49" s="589">
        <v>4.9556294497641231E-3</v>
      </c>
      <c r="AG49" s="589">
        <v>5.1884178583720079E-3</v>
      </c>
      <c r="AH49" s="589">
        <v>5.9412275371698055E-3</v>
      </c>
      <c r="AI49" s="589">
        <v>5.1450819150604997E-3</v>
      </c>
      <c r="AJ49" s="589">
        <v>5.785314188900938E-3</v>
      </c>
      <c r="AK49" s="589">
        <v>2.6833130676480486E-2</v>
      </c>
      <c r="AL49" s="589">
        <v>2.7046786331150246E-2</v>
      </c>
      <c r="AM49" s="589">
        <v>2.8390919918628989E-2</v>
      </c>
      <c r="AN49" s="589">
        <v>2.6502255451490559E-2</v>
      </c>
      <c r="AO49" s="589">
        <v>2.7027971693726505E-2</v>
      </c>
      <c r="AP49" s="589">
        <v>5.9943092034586958E-3</v>
      </c>
      <c r="AQ49" s="589">
        <v>6.1870291468153586E-3</v>
      </c>
      <c r="AR49" s="585">
        <v>7.0085102010647984E-3</v>
      </c>
      <c r="AS49" s="589">
        <v>6.409618189847731E-3</v>
      </c>
      <c r="AT49" s="590">
        <v>6.8372597990496511E-3</v>
      </c>
    </row>
    <row r="50" spans="1:70" x14ac:dyDescent="0.25">
      <c r="B50" s="587" t="s">
        <v>377</v>
      </c>
      <c r="C50" s="588">
        <v>65</v>
      </c>
      <c r="D50" s="589">
        <v>1.0465640648272521E-2</v>
      </c>
      <c r="E50" s="589">
        <v>9.118522648034387E-3</v>
      </c>
      <c r="F50" s="640">
        <v>1.2687182206454267E-2</v>
      </c>
      <c r="G50" s="623">
        <v>8.9988454376676436E-3</v>
      </c>
      <c r="H50" s="623">
        <v>1.0908490561725957E-2</v>
      </c>
      <c r="I50" s="589">
        <v>1.4938493462586062E-2</v>
      </c>
      <c r="J50" s="589">
        <v>1.2035615739682062E-2</v>
      </c>
      <c r="K50" s="589">
        <v>1.8061038660024946E-2</v>
      </c>
      <c r="L50" s="589">
        <v>1.1720941067385256E-2</v>
      </c>
      <c r="M50" s="589">
        <v>1.4732773951388927E-2</v>
      </c>
      <c r="N50" s="589">
        <v>0.28214739817645795</v>
      </c>
      <c r="O50" s="589">
        <v>0.26385645831880666</v>
      </c>
      <c r="P50" s="589">
        <v>0.29651438523424678</v>
      </c>
      <c r="Q50" s="589">
        <v>0.25155493431000975</v>
      </c>
      <c r="R50" s="589">
        <v>0.26618690190912508</v>
      </c>
      <c r="S50" s="589">
        <v>0.18982442365030805</v>
      </c>
      <c r="T50" s="612">
        <v>0.16956338551434499</v>
      </c>
      <c r="U50" s="646">
        <v>0.19783281461515453</v>
      </c>
      <c r="V50" s="623">
        <v>0.16103533700857608</v>
      </c>
      <c r="W50" s="634">
        <v>0.18003785091936395</v>
      </c>
      <c r="Y50" s="587" t="s">
        <v>377</v>
      </c>
      <c r="Z50" s="588">
        <v>65</v>
      </c>
      <c r="AA50" s="589">
        <v>3.6237190525199802E-3</v>
      </c>
      <c r="AB50" s="612">
        <v>3.8917557537507743E-3</v>
      </c>
      <c r="AC50" s="646">
        <v>4.1080362002805159E-3</v>
      </c>
      <c r="AD50" s="623">
        <v>3.9528994673457387E-3</v>
      </c>
      <c r="AE50" s="589">
        <v>4.2767108175699375E-3</v>
      </c>
      <c r="AF50" s="589">
        <v>4.7869810730012266E-3</v>
      </c>
      <c r="AG50" s="589">
        <v>4.9315678505851999E-3</v>
      </c>
      <c r="AH50" s="589">
        <v>5.6063573255890429E-3</v>
      </c>
      <c r="AI50" s="589">
        <v>4.9958399827776945E-3</v>
      </c>
      <c r="AJ50" s="589">
        <v>5.5382302552733449E-3</v>
      </c>
      <c r="AK50" s="589">
        <v>2.5788847521780966E-2</v>
      </c>
      <c r="AL50" s="589">
        <v>2.599688212148436E-2</v>
      </c>
      <c r="AM50" s="589">
        <v>2.7279222687239819E-2</v>
      </c>
      <c r="AN50" s="589">
        <v>2.5473539377132422E-2</v>
      </c>
      <c r="AO50" s="589">
        <v>2.5975635891589469E-2</v>
      </c>
      <c r="AP50" s="589">
        <v>5.9241554693996012E-3</v>
      </c>
      <c r="AQ50" s="589">
        <v>6.1300912867877436E-3</v>
      </c>
      <c r="AR50" s="585">
        <v>6.8884928618556914E-3</v>
      </c>
      <c r="AS50" s="589">
        <v>6.3506217720549407E-3</v>
      </c>
      <c r="AT50" s="590">
        <v>6.7547286991454236E-3</v>
      </c>
    </row>
    <row r="51" spans="1:70" x14ac:dyDescent="0.25">
      <c r="B51" s="587" t="s">
        <v>377</v>
      </c>
      <c r="C51" s="588">
        <v>70</v>
      </c>
      <c r="D51" s="589">
        <v>1.091728132426477E-2</v>
      </c>
      <c r="E51" s="589">
        <v>9.5844255581863051E-3</v>
      </c>
      <c r="F51" s="640">
        <v>1.2598405343997778E-2</v>
      </c>
      <c r="G51" s="623">
        <v>9.4741719270200926E-3</v>
      </c>
      <c r="H51" s="623">
        <v>1.1222632314058024E-2</v>
      </c>
      <c r="I51" s="589">
        <v>1.5583158372503621E-2</v>
      </c>
      <c r="J51" s="589">
        <v>1.265056496062816E-2</v>
      </c>
      <c r="K51" s="589">
        <v>1.7934658954992674E-2</v>
      </c>
      <c r="L51" s="589">
        <v>1.2340050908537407E-2</v>
      </c>
      <c r="M51" s="589">
        <v>1.5157047080619124E-2</v>
      </c>
      <c r="N51" s="589">
        <v>0.27788983240255655</v>
      </c>
      <c r="O51" s="589">
        <v>0.26043198266788337</v>
      </c>
      <c r="P51" s="589">
        <v>0.29059786999019754</v>
      </c>
      <c r="Q51" s="589">
        <v>0.24829473214171277</v>
      </c>
      <c r="R51" s="589">
        <v>0.26208019063106164</v>
      </c>
      <c r="S51" s="589">
        <v>0.19135106499168977</v>
      </c>
      <c r="T51" s="612">
        <v>0.17147296340996548</v>
      </c>
      <c r="U51" s="646">
        <v>0.19799124550523772</v>
      </c>
      <c r="V51" s="623">
        <v>0.16284851944382181</v>
      </c>
      <c r="W51" s="634">
        <v>0.18139916758769462</v>
      </c>
      <c r="Y51" s="587" t="s">
        <v>377</v>
      </c>
      <c r="Z51" s="588">
        <v>70</v>
      </c>
      <c r="AA51" s="589">
        <v>3.6914024211532745E-3</v>
      </c>
      <c r="AB51" s="612">
        <v>3.964162116755798E-3</v>
      </c>
      <c r="AC51" s="646">
        <v>4.040693225421714E-3</v>
      </c>
      <c r="AD51" s="623">
        <v>4.030158591822092E-3</v>
      </c>
      <c r="AE51" s="589">
        <v>4.3032002457859889E-3</v>
      </c>
      <c r="AF51" s="589">
        <v>4.8763917033256797E-3</v>
      </c>
      <c r="AG51" s="589">
        <v>5.0233199837012698E-3</v>
      </c>
      <c r="AH51" s="589">
        <v>5.5144523953450444E-3</v>
      </c>
      <c r="AI51" s="589">
        <v>5.0934833016330902E-3</v>
      </c>
      <c r="AJ51" s="589">
        <v>5.5725333819164474E-3</v>
      </c>
      <c r="AK51" s="589">
        <v>2.4947664527576876E-2</v>
      </c>
      <c r="AL51" s="589">
        <v>2.5182195117344992E-2</v>
      </c>
      <c r="AM51" s="589">
        <v>2.6308736443431489E-2</v>
      </c>
      <c r="AN51" s="589">
        <v>2.4675295206650735E-2</v>
      </c>
      <c r="AO51" s="589">
        <v>2.5123279482594602E-2</v>
      </c>
      <c r="AP51" s="589">
        <v>5.8556093152109558E-3</v>
      </c>
      <c r="AQ51" s="589">
        <v>6.0779245484384606E-3</v>
      </c>
      <c r="AR51" s="585">
        <v>6.7626715339598326E-3</v>
      </c>
      <c r="AS51" s="589">
        <v>6.2965696207274617E-3</v>
      </c>
      <c r="AT51" s="590">
        <v>6.6735139479629016E-3</v>
      </c>
    </row>
    <row r="52" spans="1:70" ht="15.75" thickBot="1" x14ac:dyDescent="0.3">
      <c r="B52" s="591" t="s">
        <v>377</v>
      </c>
      <c r="C52" s="592">
        <v>75</v>
      </c>
      <c r="D52" s="593">
        <v>1.2113415986223014E-2</v>
      </c>
      <c r="E52" s="593">
        <v>1.0771984619313451E-2</v>
      </c>
      <c r="F52" s="641">
        <v>1.3221228098864484E-2</v>
      </c>
      <c r="G52" s="624">
        <v>1.0663545736083762E-2</v>
      </c>
      <c r="H52" s="624">
        <v>1.2297361570667803E-2</v>
      </c>
      <c r="I52" s="593">
        <v>1.7290502473887914E-2</v>
      </c>
      <c r="J52" s="593">
        <v>1.4218034284289376E-2</v>
      </c>
      <c r="K52" s="593">
        <v>1.8821288126935069E-2</v>
      </c>
      <c r="L52" s="593">
        <v>1.3889203010291916E-2</v>
      </c>
      <c r="M52" s="593">
        <v>1.6608553419372458E-2</v>
      </c>
      <c r="N52" s="593">
        <v>0.27840638331743894</v>
      </c>
      <c r="O52" s="593">
        <v>0.26141708735290614</v>
      </c>
      <c r="P52" s="593">
        <v>0.28983813611696513</v>
      </c>
      <c r="Q52" s="593">
        <v>0.24923839413136004</v>
      </c>
      <c r="R52" s="593">
        <v>0.26248571183456804</v>
      </c>
      <c r="S52" s="593">
        <v>0.19772229448320225</v>
      </c>
      <c r="T52" s="613">
        <v>0.17776334127695412</v>
      </c>
      <c r="U52" s="647">
        <v>0.20305810769385371</v>
      </c>
      <c r="V52" s="623">
        <v>0.16882215134171569</v>
      </c>
      <c r="W52" s="635">
        <v>0.1873466576169534</v>
      </c>
      <c r="Y52" s="591" t="s">
        <v>377</v>
      </c>
      <c r="Z52" s="592">
        <v>75</v>
      </c>
      <c r="AA52" s="593">
        <v>4.0506415294148087E-3</v>
      </c>
      <c r="AB52" s="613">
        <v>4.3580057572603827E-3</v>
      </c>
      <c r="AC52" s="647">
        <v>4.2432420119643405E-3</v>
      </c>
      <c r="AD52" s="624">
        <v>4.4340114861194258E-3</v>
      </c>
      <c r="AE52" s="593">
        <v>4.6558258182154179E-3</v>
      </c>
      <c r="AF52" s="593">
        <v>5.3509513441272819E-3</v>
      </c>
      <c r="AG52" s="593">
        <v>5.5223920628773449E-3</v>
      </c>
      <c r="AH52" s="593">
        <v>5.7908766569289326E-3</v>
      </c>
      <c r="AI52" s="593">
        <v>5.6038895118486684E-3</v>
      </c>
      <c r="AJ52" s="593">
        <v>6.0291744075356207E-3</v>
      </c>
      <c r="AK52" s="593">
        <v>2.450786470392266E-2</v>
      </c>
      <c r="AL52" s="593">
        <v>2.4767402197017098E-2</v>
      </c>
      <c r="AM52" s="593">
        <v>2.5774228647191789E-2</v>
      </c>
      <c r="AN52" s="593">
        <v>2.4268903032995899E-2</v>
      </c>
      <c r="AO52" s="593">
        <v>2.4675922306777249E-2</v>
      </c>
      <c r="AP52" s="593">
        <v>5.9211062211626695E-3</v>
      </c>
      <c r="AQ52" s="593">
        <v>6.1672976837011048E-3</v>
      </c>
      <c r="AR52" s="586">
        <v>6.7857226139267047E-3</v>
      </c>
      <c r="AS52" s="593">
        <v>6.3891497977333362E-3</v>
      </c>
      <c r="AT52" s="594">
        <v>6.7446682008234617E-3</v>
      </c>
    </row>
    <row r="53" spans="1:70" x14ac:dyDescent="0.25">
      <c r="B53" s="577" t="s">
        <v>78</v>
      </c>
      <c r="C53" s="689">
        <v>2.5</v>
      </c>
      <c r="D53" s="690">
        <v>2.4199003589286345</v>
      </c>
      <c r="E53" s="690">
        <v>2.3604397558040637</v>
      </c>
      <c r="F53" s="636">
        <v>2.3801712088466012</v>
      </c>
      <c r="G53" s="691">
        <v>2.2890602070906394</v>
      </c>
      <c r="H53" s="691">
        <v>2.4034609833416205</v>
      </c>
      <c r="I53" s="690">
        <v>4.1717110219481803</v>
      </c>
      <c r="J53" s="690">
        <v>3.9670145749999026</v>
      </c>
      <c r="K53" s="690">
        <v>4.035994163867203</v>
      </c>
      <c r="L53" s="690">
        <v>3.8182093511626807</v>
      </c>
      <c r="M53" s="690">
        <v>4.0408528221296294</v>
      </c>
      <c r="N53" s="690">
        <v>7.0363994736091016</v>
      </c>
      <c r="O53" s="690">
        <v>6.7921303822823091</v>
      </c>
      <c r="P53" s="690">
        <v>6.97946833834785</v>
      </c>
      <c r="Q53" s="690">
        <v>6.447232175296346</v>
      </c>
      <c r="R53" s="690">
        <v>6.5576583316743955</v>
      </c>
      <c r="S53" s="690">
        <v>3.7760263839038597</v>
      </c>
      <c r="T53" s="692">
        <v>3.7587059770702655</v>
      </c>
      <c r="U53" s="636">
        <v>3.7620089683463358</v>
      </c>
      <c r="V53" s="693">
        <v>3.7542834429067171</v>
      </c>
      <c r="W53" s="694">
        <v>3.764661805914062</v>
      </c>
      <c r="X53" s="695"/>
      <c r="Y53" s="577" t="s">
        <v>78</v>
      </c>
      <c r="Z53" s="689">
        <v>2.5</v>
      </c>
      <c r="AA53" s="690">
        <v>0.26934313716955111</v>
      </c>
      <c r="AB53" s="692">
        <v>0.25686402580870848</v>
      </c>
      <c r="AC53" s="642">
        <v>0.26237879547455228</v>
      </c>
      <c r="AD53" s="691">
        <v>0.24974511553607295</v>
      </c>
      <c r="AE53" s="690">
        <v>0.26314784090089122</v>
      </c>
      <c r="AF53" s="690">
        <v>0.38681197997065514</v>
      </c>
      <c r="AG53" s="690">
        <v>0.34987710962687452</v>
      </c>
      <c r="AH53" s="690">
        <v>0.36775529066567386</v>
      </c>
      <c r="AI53" s="690">
        <v>0.33682142933368181</v>
      </c>
      <c r="AJ53" s="690">
        <v>0.36082902953593504</v>
      </c>
      <c r="AK53" s="690">
        <v>0.96237924446367962</v>
      </c>
      <c r="AL53" s="690">
        <v>0.90417062590979425</v>
      </c>
      <c r="AM53" s="690">
        <v>0.94600519584370735</v>
      </c>
      <c r="AN53" s="690">
        <v>0.85838859687976299</v>
      </c>
      <c r="AO53" s="690">
        <v>0.87980191690134535</v>
      </c>
      <c r="AP53" s="690">
        <v>0.34198029882224079</v>
      </c>
      <c r="AQ53" s="690">
        <v>0.31833999037546606</v>
      </c>
      <c r="AR53" s="652">
        <v>0.32948648711905326</v>
      </c>
      <c r="AS53" s="690">
        <v>0.31677369914151515</v>
      </c>
      <c r="AT53" s="696">
        <v>0.32227108314814767</v>
      </c>
    </row>
    <row r="54" spans="1:70" s="569" customFormat="1" x14ac:dyDescent="0.25">
      <c r="A54" s="603"/>
      <c r="B54" s="578" t="s">
        <v>78</v>
      </c>
      <c r="C54" s="697">
        <v>5</v>
      </c>
      <c r="D54" s="698">
        <v>1.3036426109446067</v>
      </c>
      <c r="E54" s="698">
        <v>1.2717559165823233</v>
      </c>
      <c r="F54" s="637">
        <v>1.2781634177866399</v>
      </c>
      <c r="G54" s="693">
        <v>1.233166474327211</v>
      </c>
      <c r="H54" s="693">
        <v>1.2935368719322242</v>
      </c>
      <c r="I54" s="698">
        <v>2.2473736278822147</v>
      </c>
      <c r="J54" s="698">
        <v>2.1373450623000014</v>
      </c>
      <c r="K54" s="698">
        <v>2.1673483300200296</v>
      </c>
      <c r="L54" s="698">
        <v>2.0569523463084822</v>
      </c>
      <c r="M54" s="698">
        <v>2.1747771882732132</v>
      </c>
      <c r="N54" s="698">
        <v>3.8180029582577393</v>
      </c>
      <c r="O54" s="698">
        <v>3.5026977730378692</v>
      </c>
      <c r="P54" s="698">
        <v>3.8105101581156759</v>
      </c>
      <c r="Q54" s="698">
        <v>3.3248808358230737</v>
      </c>
      <c r="R54" s="698">
        <v>3.4609273247991434</v>
      </c>
      <c r="S54" s="698">
        <v>2.1058949694364424</v>
      </c>
      <c r="T54" s="699">
        <v>2.0924564086556958</v>
      </c>
      <c r="U54" s="637">
        <v>2.1074290161420701</v>
      </c>
      <c r="V54" s="693">
        <v>2.0900121632242246</v>
      </c>
      <c r="W54" s="700">
        <v>2.1001504119655703</v>
      </c>
      <c r="X54" s="695"/>
      <c r="Y54" s="578" t="s">
        <v>78</v>
      </c>
      <c r="Z54" s="697">
        <v>5</v>
      </c>
      <c r="AA54" s="698">
        <v>0.14372631953289078</v>
      </c>
      <c r="AB54" s="699">
        <v>0.1375407751462078</v>
      </c>
      <c r="AC54" s="643">
        <v>0.13964495476022248</v>
      </c>
      <c r="AD54" s="693">
        <v>0.13371190506096819</v>
      </c>
      <c r="AE54" s="698">
        <v>0.14059376636786167</v>
      </c>
      <c r="AF54" s="698">
        <v>0.20640979687340436</v>
      </c>
      <c r="AG54" s="698">
        <v>0.18734569277456034</v>
      </c>
      <c r="AH54" s="698">
        <v>0.19572912069726056</v>
      </c>
      <c r="AI54" s="698">
        <v>0.18033199522198368</v>
      </c>
      <c r="AJ54" s="698">
        <v>0.19278255182957763</v>
      </c>
      <c r="AK54" s="698">
        <v>0.52067282683240568</v>
      </c>
      <c r="AL54" s="698">
        <v>0.46479419748175915</v>
      </c>
      <c r="AM54" s="698">
        <v>0.51582594667943282</v>
      </c>
      <c r="AN54" s="698">
        <v>0.44126756361077918</v>
      </c>
      <c r="AO54" s="698">
        <v>0.46325532294970528</v>
      </c>
      <c r="AP54" s="698">
        <v>0.19206572700528365</v>
      </c>
      <c r="AQ54" s="698">
        <v>0.17838573864733293</v>
      </c>
      <c r="AR54" s="653">
        <v>0.18603603625233592</v>
      </c>
      <c r="AS54" s="698">
        <v>0.17751803367481325</v>
      </c>
      <c r="AT54" s="701">
        <v>0.18105088364910632</v>
      </c>
      <c r="AU54" s="603"/>
      <c r="AV54" s="603"/>
      <c r="AW54" s="603"/>
      <c r="AX54" s="603"/>
      <c r="AY54" s="603"/>
      <c r="AZ54" s="603"/>
      <c r="BA54" s="603"/>
      <c r="BB54" s="603"/>
      <c r="BC54" s="603"/>
      <c r="BD54" s="603"/>
      <c r="BE54" s="603"/>
      <c r="BF54" s="603"/>
      <c r="BG54" s="603"/>
      <c r="BH54" s="603"/>
      <c r="BI54" s="603"/>
      <c r="BJ54" s="603"/>
      <c r="BK54" s="603"/>
      <c r="BL54" s="603"/>
      <c r="BM54" s="603"/>
      <c r="BN54" s="603"/>
      <c r="BO54" s="603"/>
      <c r="BP54" s="603"/>
      <c r="BQ54" s="603"/>
      <c r="BR54" s="603"/>
    </row>
    <row r="55" spans="1:70" x14ac:dyDescent="0.25">
      <c r="B55" s="578" t="s">
        <v>78</v>
      </c>
      <c r="C55" s="697">
        <v>10</v>
      </c>
      <c r="D55" s="698">
        <v>0.7403921612558334</v>
      </c>
      <c r="E55" s="698">
        <v>0.7274129605926537</v>
      </c>
      <c r="F55" s="637">
        <v>0.71824357054286558</v>
      </c>
      <c r="G55" s="693">
        <v>0.70521890355351202</v>
      </c>
      <c r="H55" s="693">
        <v>0.73535615396002485</v>
      </c>
      <c r="I55" s="698">
        <v>1.2763757517034542</v>
      </c>
      <c r="J55" s="698">
        <v>1.222508564185707</v>
      </c>
      <c r="K55" s="698">
        <v>1.2179068666034656</v>
      </c>
      <c r="L55" s="698">
        <v>1.1763226689380351</v>
      </c>
      <c r="M55" s="698">
        <v>1.2363279498169419</v>
      </c>
      <c r="N55" s="698">
        <v>2.0766945335927578</v>
      </c>
      <c r="O55" s="698">
        <v>1.8872613814082191</v>
      </c>
      <c r="P55" s="698">
        <v>2.0686177021287007</v>
      </c>
      <c r="Q55" s="698">
        <v>1.7914393392982513</v>
      </c>
      <c r="R55" s="698">
        <v>1.8710126182992242</v>
      </c>
      <c r="S55" s="698">
        <v>1.1381457726857729</v>
      </c>
      <c r="T55" s="699">
        <v>1.1334274337584713</v>
      </c>
      <c r="U55" s="637">
        <v>1.1334191973477925</v>
      </c>
      <c r="V55" s="693">
        <v>1.1320814594851134</v>
      </c>
      <c r="W55" s="700">
        <v>1.1348661387898131</v>
      </c>
      <c r="X55" s="695"/>
      <c r="Y55" s="578" t="s">
        <v>78</v>
      </c>
      <c r="Z55" s="697">
        <v>10</v>
      </c>
      <c r="AA55" s="698">
        <v>8.0139424918688543E-2</v>
      </c>
      <c r="AB55" s="699">
        <v>7.7879096474185602E-2</v>
      </c>
      <c r="AC55" s="643">
        <v>7.7214045146367677E-2</v>
      </c>
      <c r="AD55" s="693">
        <v>7.5695242626371215E-2</v>
      </c>
      <c r="AE55" s="698">
        <v>7.8923122668978621E-2</v>
      </c>
      <c r="AF55" s="698">
        <v>0.1150906978817649</v>
      </c>
      <c r="AG55" s="698">
        <v>0.10607991169239384</v>
      </c>
      <c r="AH55" s="698">
        <v>0.10822472740190997</v>
      </c>
      <c r="AI55" s="698">
        <v>0.1020872010267268</v>
      </c>
      <c r="AJ55" s="698">
        <v>0.10821959877420625</v>
      </c>
      <c r="AK55" s="698">
        <v>0.28356361212606218</v>
      </c>
      <c r="AL55" s="698">
        <v>0.25282682561610331</v>
      </c>
      <c r="AM55" s="698">
        <v>0.28036447342563636</v>
      </c>
      <c r="AN55" s="698">
        <v>0.24002491840524193</v>
      </c>
      <c r="AO55" s="698">
        <v>0.25194808546845571</v>
      </c>
      <c r="AP55" s="698">
        <v>0.10715530138083869</v>
      </c>
      <c r="AQ55" s="698">
        <v>9.9844085650606942E-2</v>
      </c>
      <c r="AR55" s="653">
        <v>0.1030684218706739</v>
      </c>
      <c r="AS55" s="698">
        <v>9.9358070265949255E-2</v>
      </c>
      <c r="AT55" s="701">
        <v>0.10098928493928062</v>
      </c>
    </row>
    <row r="56" spans="1:70" x14ac:dyDescent="0.25">
      <c r="B56" s="578" t="s">
        <v>78</v>
      </c>
      <c r="C56" s="697">
        <v>15</v>
      </c>
      <c r="D56" s="698">
        <v>0.54767920024373418</v>
      </c>
      <c r="E56" s="698">
        <v>0.54596526001189549</v>
      </c>
      <c r="F56" s="637">
        <v>0.53107408292306468</v>
      </c>
      <c r="G56" s="693">
        <v>0.52923631860197218</v>
      </c>
      <c r="H56" s="693">
        <v>0.54872232981449154</v>
      </c>
      <c r="I56" s="698">
        <v>0.94415431103125436</v>
      </c>
      <c r="J56" s="698">
        <v>0.917562983162441</v>
      </c>
      <c r="K56" s="698">
        <v>0.90052845412632498</v>
      </c>
      <c r="L56" s="698">
        <v>0.88277934079736831</v>
      </c>
      <c r="M56" s="698">
        <v>0.92254718939253622</v>
      </c>
      <c r="N56" s="698">
        <v>1.5136370851987315</v>
      </c>
      <c r="O56" s="698">
        <v>1.2079265201028626</v>
      </c>
      <c r="P56" s="698">
        <v>1.5062476373080338</v>
      </c>
      <c r="Q56" s="698">
        <v>1.1466165707469049</v>
      </c>
      <c r="R56" s="698">
        <v>1.2675086884040385</v>
      </c>
      <c r="S56" s="698">
        <v>0.79931702824826556</v>
      </c>
      <c r="T56" s="699">
        <v>0.79601466883993843</v>
      </c>
      <c r="U56" s="637">
        <v>0.79631079292230933</v>
      </c>
      <c r="V56" s="693">
        <v>0.79502432044253701</v>
      </c>
      <c r="W56" s="700">
        <v>0.79709755987154141</v>
      </c>
      <c r="X56" s="695"/>
      <c r="Y56" s="578" t="s">
        <v>78</v>
      </c>
      <c r="Z56" s="697">
        <v>15</v>
      </c>
      <c r="AA56" s="698">
        <v>5.7849275814466562E-2</v>
      </c>
      <c r="AB56" s="699">
        <v>5.79918473295103E-2</v>
      </c>
      <c r="AC56" s="643">
        <v>5.5726939425270468E-2</v>
      </c>
      <c r="AD56" s="693">
        <v>5.6356349029479821E-2</v>
      </c>
      <c r="AE56" s="698">
        <v>5.8067517742533797E-2</v>
      </c>
      <c r="AF56" s="698">
        <v>8.3079127810025424E-2</v>
      </c>
      <c r="AG56" s="698">
        <v>7.8991286777862796E-2</v>
      </c>
      <c r="AH56" s="698">
        <v>7.8107976558023373E-2</v>
      </c>
      <c r="AI56" s="698">
        <v>7.6005594709601026E-2</v>
      </c>
      <c r="AJ56" s="698">
        <v>7.9622337021151679E-2</v>
      </c>
      <c r="AK56" s="698">
        <v>0.20735602506546799</v>
      </c>
      <c r="AL56" s="698">
        <v>0.1627991170599318</v>
      </c>
      <c r="AM56" s="698">
        <v>0.2046506093906294</v>
      </c>
      <c r="AN56" s="698">
        <v>0.15455966450487182</v>
      </c>
      <c r="AO56" s="698">
        <v>0.17149134850359254</v>
      </c>
      <c r="AP56" s="698">
        <v>7.920579996333374E-2</v>
      </c>
      <c r="AQ56" s="698">
        <v>7.384157574187869E-2</v>
      </c>
      <c r="AR56" s="653">
        <v>7.613783388214794E-2</v>
      </c>
      <c r="AS56" s="698">
        <v>7.3474452738897217E-2</v>
      </c>
      <c r="AT56" s="701">
        <v>7.4655065084439601E-2</v>
      </c>
    </row>
    <row r="57" spans="1:70" x14ac:dyDescent="0.25">
      <c r="B57" s="578" t="s">
        <v>78</v>
      </c>
      <c r="C57" s="697">
        <v>20</v>
      </c>
      <c r="D57" s="698">
        <v>0.42655605308013095</v>
      </c>
      <c r="E57" s="698">
        <v>0.45137606785568513</v>
      </c>
      <c r="F57" s="637">
        <v>0.41555712462646105</v>
      </c>
      <c r="G57" s="693">
        <v>0.43749163892983761</v>
      </c>
      <c r="H57" s="693">
        <v>0.44410053963596896</v>
      </c>
      <c r="I57" s="698">
        <v>0.73534787560464743</v>
      </c>
      <c r="J57" s="698">
        <v>0.75859400164173652</v>
      </c>
      <c r="K57" s="698">
        <v>0.70464936451297322</v>
      </c>
      <c r="L57" s="698">
        <v>0.72974693354199271</v>
      </c>
      <c r="M57" s="698">
        <v>0.74665032273678711</v>
      </c>
      <c r="N57" s="698">
        <v>1.2103080993117319</v>
      </c>
      <c r="O57" s="698">
        <v>0.9915508106367652</v>
      </c>
      <c r="P57" s="698">
        <v>1.2057830987150824</v>
      </c>
      <c r="Q57" s="698">
        <v>0.94119176732974064</v>
      </c>
      <c r="R57" s="698">
        <v>1.0285841247308418</v>
      </c>
      <c r="S57" s="698">
        <v>0.62126017265923805</v>
      </c>
      <c r="T57" s="699">
        <v>0.61807037025010303</v>
      </c>
      <c r="U57" s="637">
        <v>0.6205958470324745</v>
      </c>
      <c r="V57" s="693">
        <v>0.61728089502545935</v>
      </c>
      <c r="W57" s="700">
        <v>0.6196629193584906</v>
      </c>
      <c r="X57" s="695"/>
      <c r="Y57" s="578" t="s">
        <v>78</v>
      </c>
      <c r="Z57" s="697">
        <v>20</v>
      </c>
      <c r="AA57" s="698">
        <v>4.550715838814276E-2</v>
      </c>
      <c r="AB57" s="699">
        <v>4.7635314022983696E-2</v>
      </c>
      <c r="AC57" s="643">
        <v>4.3967427314651641E-2</v>
      </c>
      <c r="AD57" s="693">
        <v>4.6285317786713104E-2</v>
      </c>
      <c r="AE57" s="698">
        <v>4.6970282736524926E-2</v>
      </c>
      <c r="AF57" s="698">
        <v>6.5354232611743973E-2</v>
      </c>
      <c r="AG57" s="698">
        <v>6.4884547121993333E-2</v>
      </c>
      <c r="AH57" s="698">
        <v>6.1625612628783605E-2</v>
      </c>
      <c r="AI57" s="698">
        <v>6.2423190382006097E-2</v>
      </c>
      <c r="AJ57" s="698">
        <v>6.4405778435521921E-2</v>
      </c>
      <c r="AK57" s="698">
        <v>0.16594215820839331</v>
      </c>
      <c r="AL57" s="698">
        <v>0.1342462839710229</v>
      </c>
      <c r="AM57" s="698">
        <v>0.1638843149835533</v>
      </c>
      <c r="AN57" s="698">
        <v>0.12744382848171237</v>
      </c>
      <c r="AO57" s="698">
        <v>0.13953688111247442</v>
      </c>
      <c r="AP57" s="698">
        <v>6.3403799238559905E-2</v>
      </c>
      <c r="AQ57" s="698">
        <v>5.9020211762125928E-2</v>
      </c>
      <c r="AR57" s="653">
        <v>6.1198794215419988E-2</v>
      </c>
      <c r="AS57" s="698">
        <v>5.8723987868451878E-2</v>
      </c>
      <c r="AT57" s="701">
        <v>5.9780322121419163E-2</v>
      </c>
    </row>
    <row r="58" spans="1:70" x14ac:dyDescent="0.25">
      <c r="B58" s="578" t="s">
        <v>78</v>
      </c>
      <c r="C58" s="697">
        <v>25</v>
      </c>
      <c r="D58" s="698">
        <v>0.36418569711764598</v>
      </c>
      <c r="E58" s="698">
        <v>0.38684133008466565</v>
      </c>
      <c r="F58" s="637">
        <v>0.35577960900557132</v>
      </c>
      <c r="G58" s="693">
        <v>0.37488889234782313</v>
      </c>
      <c r="H58" s="693">
        <v>0.38035378761422883</v>
      </c>
      <c r="I58" s="698">
        <v>0.62782646446409762</v>
      </c>
      <c r="J58" s="698">
        <v>0.65013529402086623</v>
      </c>
      <c r="K58" s="698">
        <v>0.60328619228415548</v>
      </c>
      <c r="L58" s="698">
        <v>0.62532399540017802</v>
      </c>
      <c r="M58" s="698">
        <v>0.63947519295768496</v>
      </c>
      <c r="N58" s="698">
        <v>0.99869103049156394</v>
      </c>
      <c r="O58" s="698">
        <v>0.85313247767343159</v>
      </c>
      <c r="P58" s="698">
        <v>0.99733338399748306</v>
      </c>
      <c r="Q58" s="698">
        <v>0.80977803585711849</v>
      </c>
      <c r="R58" s="698">
        <v>0.86941435530005995</v>
      </c>
      <c r="S58" s="698">
        <v>0.52881902748698406</v>
      </c>
      <c r="T58" s="699">
        <v>0.5259887531629982</v>
      </c>
      <c r="U58" s="637">
        <v>0.52860954570851937</v>
      </c>
      <c r="V58" s="693">
        <v>0.52529784015020264</v>
      </c>
      <c r="W58" s="700">
        <v>0.52749086303211812</v>
      </c>
      <c r="X58" s="695"/>
      <c r="Y58" s="578" t="s">
        <v>78</v>
      </c>
      <c r="Z58" s="697">
        <v>25</v>
      </c>
      <c r="AA58" s="698">
        <v>3.884966600103406E-2</v>
      </c>
      <c r="AB58" s="699">
        <v>4.0590025626788213E-2</v>
      </c>
      <c r="AC58" s="643">
        <v>3.7605872800469481E-2</v>
      </c>
      <c r="AD58" s="693">
        <v>3.9434135111416635E-2</v>
      </c>
      <c r="AE58" s="698">
        <v>4.0070588858971717E-2</v>
      </c>
      <c r="AF58" s="698">
        <v>5.5793202622418513E-2</v>
      </c>
      <c r="AG58" s="698">
        <v>5.5288087933954469E-2</v>
      </c>
      <c r="AH58" s="698">
        <v>5.2709132448983807E-2</v>
      </c>
      <c r="AI58" s="698">
        <v>5.3183269367469969E-2</v>
      </c>
      <c r="AJ58" s="698">
        <v>5.4944899572106833E-2</v>
      </c>
      <c r="AK58" s="698">
        <v>0.13712947591111879</v>
      </c>
      <c r="AL58" s="698">
        <v>0.1157511258257965</v>
      </c>
      <c r="AM58" s="698">
        <v>0.1357169515967879</v>
      </c>
      <c r="AN58" s="698">
        <v>0.10987924452190738</v>
      </c>
      <c r="AO58" s="698">
        <v>0.11814820162902713</v>
      </c>
      <c r="AP58" s="698">
        <v>5.5241637737464003E-2</v>
      </c>
      <c r="AQ58" s="698">
        <v>5.1367079977209337E-2</v>
      </c>
      <c r="AR58" s="653">
        <v>5.347298416709851E-2</v>
      </c>
      <c r="AS58" s="698">
        <v>5.1105893876625348E-2</v>
      </c>
      <c r="AT58" s="701">
        <v>5.2095117320182092E-2</v>
      </c>
    </row>
    <row r="59" spans="1:70" x14ac:dyDescent="0.25">
      <c r="B59" s="578" t="s">
        <v>78</v>
      </c>
      <c r="C59" s="697">
        <v>30</v>
      </c>
      <c r="D59" s="698">
        <v>0.32509144799941525</v>
      </c>
      <c r="E59" s="698">
        <v>0.33653564364526223</v>
      </c>
      <c r="F59" s="637">
        <v>0.32049321607706516</v>
      </c>
      <c r="G59" s="693">
        <v>0.32607145039378416</v>
      </c>
      <c r="H59" s="693">
        <v>0.33498528748632445</v>
      </c>
      <c r="I59" s="698">
        <v>0.5604311647611312</v>
      </c>
      <c r="J59" s="698">
        <v>0.56559028887096408</v>
      </c>
      <c r="K59" s="698">
        <v>0.54345197725204075</v>
      </c>
      <c r="L59" s="698">
        <v>0.54389528819913069</v>
      </c>
      <c r="M59" s="698">
        <v>0.5631987594943284</v>
      </c>
      <c r="N59" s="698">
        <v>0.87758980365464689</v>
      </c>
      <c r="O59" s="698">
        <v>0.7697720442576591</v>
      </c>
      <c r="P59" s="698">
        <v>0.87696383224623009</v>
      </c>
      <c r="Q59" s="698">
        <v>0.73063614090585605</v>
      </c>
      <c r="R59" s="698">
        <v>0.77562979448531522</v>
      </c>
      <c r="S59" s="698">
        <v>0.46562050725432685</v>
      </c>
      <c r="T59" s="699">
        <v>0.46318230342382183</v>
      </c>
      <c r="U59" s="637">
        <v>0.46537424749722905</v>
      </c>
      <c r="V59" s="693">
        <v>0.46256429226321666</v>
      </c>
      <c r="W59" s="700">
        <v>0.46446055127408248</v>
      </c>
      <c r="X59" s="695"/>
      <c r="Y59" s="578" t="s">
        <v>78</v>
      </c>
      <c r="Z59" s="697">
        <v>30</v>
      </c>
      <c r="AA59" s="698">
        <v>3.4714204691313248E-2</v>
      </c>
      <c r="AB59" s="699">
        <v>3.5676694182368129E-2</v>
      </c>
      <c r="AC59" s="643">
        <v>3.4129392959087949E-2</v>
      </c>
      <c r="AD59" s="693">
        <v>3.4655440909862549E-2</v>
      </c>
      <c r="AE59" s="698">
        <v>3.5597832976314366E-2</v>
      </c>
      <c r="AF59" s="698">
        <v>4.9854139187889009E-2</v>
      </c>
      <c r="AG59" s="698">
        <v>4.8595589056385849E-2</v>
      </c>
      <c r="AH59" s="698">
        <v>4.7836429789272807E-2</v>
      </c>
      <c r="AI59" s="698">
        <v>4.6738432166705819E-2</v>
      </c>
      <c r="AJ59" s="698">
        <v>4.881184463627615E-2</v>
      </c>
      <c r="AK59" s="698">
        <v>0.12094953371730741</v>
      </c>
      <c r="AL59" s="698">
        <v>0.10482841554753003</v>
      </c>
      <c r="AM59" s="698">
        <v>0.11976769436251321</v>
      </c>
      <c r="AN59" s="698">
        <v>9.950617509823613E-2</v>
      </c>
      <c r="AO59" s="698">
        <v>0.10579030076035728</v>
      </c>
      <c r="AP59" s="698">
        <v>4.9987877452673586E-2</v>
      </c>
      <c r="AQ59" s="698">
        <v>4.6460798313458763E-2</v>
      </c>
      <c r="AR59" s="653">
        <v>4.8451938754857898E-2</v>
      </c>
      <c r="AS59" s="698">
        <v>4.6223895943044817E-2</v>
      </c>
      <c r="AT59" s="701">
        <v>4.7146851966431938E-2</v>
      </c>
    </row>
    <row r="60" spans="1:70" x14ac:dyDescent="0.25">
      <c r="B60" s="578" t="s">
        <v>78</v>
      </c>
      <c r="C60" s="697">
        <v>35</v>
      </c>
      <c r="D60" s="698">
        <v>0.30073303422282172</v>
      </c>
      <c r="E60" s="698">
        <v>0.30321058529193906</v>
      </c>
      <c r="F60" s="637">
        <v>0.30219664502929461</v>
      </c>
      <c r="G60" s="693">
        <v>0.2919796620248194</v>
      </c>
      <c r="H60" s="693">
        <v>0.30584595752946209</v>
      </c>
      <c r="I60" s="698">
        <v>0.51843924436901301</v>
      </c>
      <c r="J60" s="698">
        <v>0.50958335546997935</v>
      </c>
      <c r="K60" s="698">
        <v>0.51242695951671247</v>
      </c>
      <c r="L60" s="698">
        <v>0.48702933738445808</v>
      </c>
      <c r="M60" s="698">
        <v>0.51420784825954535</v>
      </c>
      <c r="N60" s="698">
        <v>0.78398228562378269</v>
      </c>
      <c r="O60" s="698">
        <v>0.69117966255400354</v>
      </c>
      <c r="P60" s="698">
        <v>0.78365024327780364</v>
      </c>
      <c r="Q60" s="698">
        <v>0.65604218132624481</v>
      </c>
      <c r="R60" s="698">
        <v>0.69497550716862178</v>
      </c>
      <c r="S60" s="698">
        <v>0.41660506979189477</v>
      </c>
      <c r="T60" s="699">
        <v>0.41430799560360398</v>
      </c>
      <c r="U60" s="637">
        <v>0.41662174764334847</v>
      </c>
      <c r="V60" s="693">
        <v>0.41376598045980728</v>
      </c>
      <c r="W60" s="700">
        <v>0.41557478197798564</v>
      </c>
      <c r="X60" s="695"/>
      <c r="Y60" s="578" t="s">
        <v>78</v>
      </c>
      <c r="Z60" s="697">
        <v>35</v>
      </c>
      <c r="AA60" s="698">
        <v>3.2562255382490565E-2</v>
      </c>
      <c r="AB60" s="699">
        <v>3.2358533971999039E-2</v>
      </c>
      <c r="AC60" s="643">
        <v>3.3058490260470114E-2</v>
      </c>
      <c r="AD60" s="693">
        <v>3.12049961747141E-2</v>
      </c>
      <c r="AE60" s="698">
        <v>3.2922792054045795E-2</v>
      </c>
      <c r="AF60" s="698">
        <v>4.676365846619833E-2</v>
      </c>
      <c r="AG60" s="698">
        <v>4.4075889187835872E-2</v>
      </c>
      <c r="AH60" s="698">
        <v>4.6335431461673376E-2</v>
      </c>
      <c r="AI60" s="698">
        <v>4.2084952858271803E-2</v>
      </c>
      <c r="AJ60" s="698">
        <v>4.5143821305183671E-2</v>
      </c>
      <c r="AK60" s="698">
        <v>0.1082426560402972</v>
      </c>
      <c r="AL60" s="698">
        <v>9.4128805824254216E-2</v>
      </c>
      <c r="AM60" s="698">
        <v>0.1072657300547351</v>
      </c>
      <c r="AN60" s="698">
        <v>8.9350301171411392E-2</v>
      </c>
      <c r="AO60" s="698">
        <v>9.4880111759419308E-2</v>
      </c>
      <c r="AP60" s="698">
        <v>4.3475710778547498E-2</v>
      </c>
      <c r="AQ60" s="698">
        <v>4.0310210699121607E-2</v>
      </c>
      <c r="AR60" s="653">
        <v>4.238472491627622E-2</v>
      </c>
      <c r="AS60" s="698">
        <v>4.010651269513154E-2</v>
      </c>
      <c r="AT60" s="701">
        <v>4.1019269394897341E-2</v>
      </c>
    </row>
    <row r="61" spans="1:70" x14ac:dyDescent="0.25">
      <c r="B61" s="578" t="s">
        <v>78</v>
      </c>
      <c r="C61" s="697">
        <v>40</v>
      </c>
      <c r="D61" s="698">
        <v>0.28244429837862062</v>
      </c>
      <c r="E61" s="698">
        <v>0.27891925298146253</v>
      </c>
      <c r="F61" s="637">
        <v>0.28790382784681356</v>
      </c>
      <c r="G61" s="693">
        <v>0.26669830608585388</v>
      </c>
      <c r="H61" s="693">
        <v>0.2840638696548663</v>
      </c>
      <c r="I61" s="698">
        <v>0.48691095411638013</v>
      </c>
      <c r="J61" s="698">
        <v>0.46875872985313061</v>
      </c>
      <c r="K61" s="698">
        <v>0.48819100265810139</v>
      </c>
      <c r="L61" s="698">
        <v>0.44485940696619353</v>
      </c>
      <c r="M61" s="698">
        <v>0.47758640448742268</v>
      </c>
      <c r="N61" s="698">
        <v>0.71636394263337766</v>
      </c>
      <c r="O61" s="698">
        <v>0.63168919216547303</v>
      </c>
      <c r="P61" s="698">
        <v>0.71688582450133664</v>
      </c>
      <c r="Q61" s="698">
        <v>0.59957375055787943</v>
      </c>
      <c r="R61" s="698">
        <v>0.6353533395177503</v>
      </c>
      <c r="S61" s="698">
        <v>0.38260113401628426</v>
      </c>
      <c r="T61" s="699">
        <v>0.38042208009395118</v>
      </c>
      <c r="U61" s="637">
        <v>0.38281989681949835</v>
      </c>
      <c r="V61" s="693">
        <v>0.37991880044530879</v>
      </c>
      <c r="W61" s="700">
        <v>0.38167298480026185</v>
      </c>
      <c r="X61" s="695"/>
      <c r="Y61" s="578" t="s">
        <v>78</v>
      </c>
      <c r="Z61" s="697">
        <v>40</v>
      </c>
      <c r="AA61" s="698">
        <v>3.094963404596851E-2</v>
      </c>
      <c r="AB61" s="699">
        <v>2.9916441721367527E-2</v>
      </c>
      <c r="AC61" s="643">
        <v>3.2134828358238041E-2</v>
      </c>
      <c r="AD61" s="693">
        <v>2.8612169310005441E-2</v>
      </c>
      <c r="AE61" s="698">
        <v>3.0884926779969901E-2</v>
      </c>
      <c r="AF61" s="698">
        <v>4.4447723266667516E-2</v>
      </c>
      <c r="AG61" s="698">
        <v>4.0749490423341486E-2</v>
      </c>
      <c r="AH61" s="698">
        <v>4.5040808736091467E-2</v>
      </c>
      <c r="AI61" s="698">
        <v>3.8588109091332153E-2</v>
      </c>
      <c r="AJ61" s="698">
        <v>4.2349494942282878E-2</v>
      </c>
      <c r="AK61" s="698">
        <v>9.8849827034573942E-2</v>
      </c>
      <c r="AL61" s="698">
        <v>8.6173658448610302E-2</v>
      </c>
      <c r="AM61" s="698">
        <v>9.8143005070511796E-2</v>
      </c>
      <c r="AN61" s="698">
        <v>8.1797994313226222E-2</v>
      </c>
      <c r="AO61" s="698">
        <v>8.6824234472941325E-2</v>
      </c>
      <c r="AP61" s="698">
        <v>4.0138624501483554E-2</v>
      </c>
      <c r="AQ61" s="698">
        <v>3.7162563786946858E-2</v>
      </c>
      <c r="AR61" s="653">
        <v>3.9274114064591921E-2</v>
      </c>
      <c r="AS61" s="698">
        <v>3.6974080706347848E-2</v>
      </c>
      <c r="AT61" s="701">
        <v>3.7880557396658826E-2</v>
      </c>
    </row>
    <row r="62" spans="1:70" x14ac:dyDescent="0.25">
      <c r="B62" s="578" t="s">
        <v>78</v>
      </c>
      <c r="C62" s="697">
        <v>45</v>
      </c>
      <c r="D62" s="698">
        <v>0.26794465240059961</v>
      </c>
      <c r="E62" s="698">
        <v>0.26002593346502767</v>
      </c>
      <c r="F62" s="637">
        <v>0.27585590849864899</v>
      </c>
      <c r="G62" s="693">
        <v>0.24807830853736926</v>
      </c>
      <c r="H62" s="693">
        <v>0.26728663224638705</v>
      </c>
      <c r="I62" s="698">
        <v>0.46191474602141669</v>
      </c>
      <c r="J62" s="698">
        <v>0.43700614065548932</v>
      </c>
      <c r="K62" s="698">
        <v>0.46776166043464928</v>
      </c>
      <c r="L62" s="698">
        <v>0.41380078800194581</v>
      </c>
      <c r="M62" s="698">
        <v>0.44937943645279477</v>
      </c>
      <c r="N62" s="698">
        <v>0.66337295010709318</v>
      </c>
      <c r="O62" s="698">
        <v>0.58536311126217666</v>
      </c>
      <c r="P62" s="698">
        <v>0.66463398674084673</v>
      </c>
      <c r="Q62" s="698">
        <v>0.55560096584107832</v>
      </c>
      <c r="R62" s="698">
        <v>0.58881861481272735</v>
      </c>
      <c r="S62" s="698">
        <v>0.35626486001433494</v>
      </c>
      <c r="T62" s="699">
        <v>0.35402744811503783</v>
      </c>
      <c r="U62" s="637">
        <v>0.35701232501338603</v>
      </c>
      <c r="V62" s="693">
        <v>0.35355442577132623</v>
      </c>
      <c r="W62" s="700">
        <v>0.35543954799575467</v>
      </c>
      <c r="X62" s="695"/>
      <c r="Y62" s="578" t="s">
        <v>78</v>
      </c>
      <c r="Z62" s="697">
        <v>45</v>
      </c>
      <c r="AA62" s="698">
        <v>2.9657032412855694E-2</v>
      </c>
      <c r="AB62" s="699">
        <v>2.8017028951781629E-2</v>
      </c>
      <c r="AC62" s="643">
        <v>3.1287524654783606E-2</v>
      </c>
      <c r="AD62" s="693">
        <v>2.6733878170577461E-2</v>
      </c>
      <c r="AE62" s="698">
        <v>2.9320639971958554E-2</v>
      </c>
      <c r="AF62" s="698">
        <v>4.2591378225646757E-2</v>
      </c>
      <c r="AG62" s="698">
        <v>3.816228091543631E-2</v>
      </c>
      <c r="AH62" s="698">
        <v>4.3853211166774125E-2</v>
      </c>
      <c r="AI62" s="698">
        <v>3.6054931595832576E-2</v>
      </c>
      <c r="AJ62" s="698">
        <v>4.0204540649980004E-2</v>
      </c>
      <c r="AK62" s="698">
        <v>9.1487672263303399E-2</v>
      </c>
      <c r="AL62" s="698">
        <v>7.9971071882074432E-2</v>
      </c>
      <c r="AM62" s="698">
        <v>9.1014637867256332E-2</v>
      </c>
      <c r="AN62" s="698">
        <v>7.5909499106376122E-2</v>
      </c>
      <c r="AO62" s="698">
        <v>8.0535377089996918E-2</v>
      </c>
      <c r="AP62" s="698">
        <v>3.7551044350664704E-2</v>
      </c>
      <c r="AQ62" s="698">
        <v>3.4710181018937067E-2</v>
      </c>
      <c r="AR62" s="653">
        <v>3.6891901685799366E-2</v>
      </c>
      <c r="AS62" s="698">
        <v>3.4533549574658491E-2</v>
      </c>
      <c r="AT62" s="701">
        <v>3.544857921185085E-2</v>
      </c>
    </row>
    <row r="63" spans="1:70" x14ac:dyDescent="0.25">
      <c r="B63" s="578" t="s">
        <v>78</v>
      </c>
      <c r="C63" s="697">
        <v>50</v>
      </c>
      <c r="D63" s="698">
        <v>0.25428071543768621</v>
      </c>
      <c r="E63" s="698">
        <v>0.24573410498250478</v>
      </c>
      <c r="F63" s="637">
        <v>0.263012711602093</v>
      </c>
      <c r="G63" s="693">
        <v>0.23495095085498496</v>
      </c>
      <c r="H63" s="693">
        <v>0.25364383050638672</v>
      </c>
      <c r="I63" s="698">
        <v>0.43835923216685968</v>
      </c>
      <c r="J63" s="698">
        <v>0.41298693332170422</v>
      </c>
      <c r="K63" s="698">
        <v>0.44598378683999473</v>
      </c>
      <c r="L63" s="698">
        <v>0.39190402892864801</v>
      </c>
      <c r="M63" s="698">
        <v>0.42644228278359397</v>
      </c>
      <c r="N63" s="698">
        <v>0.61748267843987559</v>
      </c>
      <c r="O63" s="698">
        <v>0.59210804312445653</v>
      </c>
      <c r="P63" s="698">
        <v>0.61932766041373433</v>
      </c>
      <c r="Q63" s="698">
        <v>0.56198896665189846</v>
      </c>
      <c r="R63" s="698">
        <v>0.57526754282281767</v>
      </c>
      <c r="S63" s="698">
        <v>0.33409909820427763</v>
      </c>
      <c r="T63" s="699">
        <v>0.33190079316843896</v>
      </c>
      <c r="U63" s="637">
        <v>0.33505655775886473</v>
      </c>
      <c r="V63" s="693">
        <v>0.33145715873427595</v>
      </c>
      <c r="W63" s="700">
        <v>0.3333432934979792</v>
      </c>
      <c r="X63" s="695"/>
      <c r="Y63" s="578" t="s">
        <v>78</v>
      </c>
      <c r="Z63" s="697">
        <v>50</v>
      </c>
      <c r="AA63" s="698">
        <v>2.8397045031451705E-2</v>
      </c>
      <c r="AB63" s="699">
        <v>2.6614014950894271E-2</v>
      </c>
      <c r="AC63" s="643">
        <v>3.0156226680339352E-2</v>
      </c>
      <c r="AD63" s="693">
        <v>2.5465872918750576E-2</v>
      </c>
      <c r="AE63" s="698">
        <v>2.8038559776213081E-2</v>
      </c>
      <c r="AF63" s="698">
        <v>4.0781871516618877E-2</v>
      </c>
      <c r="AG63" s="698">
        <v>3.6251221233758367E-2</v>
      </c>
      <c r="AH63" s="698">
        <v>4.2267561630313831E-2</v>
      </c>
      <c r="AI63" s="698">
        <v>3.4344822709794096E-2</v>
      </c>
      <c r="AJ63" s="698">
        <v>3.8446548825937968E-2</v>
      </c>
      <c r="AK63" s="698">
        <v>8.505701788450741E-2</v>
      </c>
      <c r="AL63" s="698">
        <v>8.0613469855581057E-2</v>
      </c>
      <c r="AM63" s="698">
        <v>8.4768968689130933E-2</v>
      </c>
      <c r="AN63" s="698">
        <v>7.6516508149966023E-2</v>
      </c>
      <c r="AO63" s="698">
        <v>7.8503459874456949E-2</v>
      </c>
      <c r="AP63" s="698">
        <v>3.4996622872208547E-2</v>
      </c>
      <c r="AQ63" s="698">
        <v>3.2303946790450143E-2</v>
      </c>
      <c r="AR63" s="653">
        <v>3.4499733918495798E-2</v>
      </c>
      <c r="AS63" s="698">
        <v>3.213997289837596E-2</v>
      </c>
      <c r="AT63" s="701">
        <v>3.3045069119145946E-2</v>
      </c>
    </row>
    <row r="64" spans="1:70" x14ac:dyDescent="0.25">
      <c r="B64" s="578" t="s">
        <v>78</v>
      </c>
      <c r="C64" s="697">
        <v>55</v>
      </c>
      <c r="D64" s="698">
        <v>0.24232349085231247</v>
      </c>
      <c r="E64" s="698">
        <v>0.23732310050194505</v>
      </c>
      <c r="F64" s="637">
        <v>0.25087663385662018</v>
      </c>
      <c r="G64" s="693">
        <v>0.22628977540663961</v>
      </c>
      <c r="H64" s="693">
        <v>0.24342725015051508</v>
      </c>
      <c r="I64" s="698">
        <v>0.41774595137177861</v>
      </c>
      <c r="J64" s="698">
        <v>0.3988511870978384</v>
      </c>
      <c r="K64" s="698">
        <v>0.42540495672436512</v>
      </c>
      <c r="L64" s="698">
        <v>0.37745697288945168</v>
      </c>
      <c r="M64" s="698">
        <v>0.40926551234726266</v>
      </c>
      <c r="N64" s="698">
        <v>0.57977658202268634</v>
      </c>
      <c r="O64" s="698">
        <v>0.59762805255453422</v>
      </c>
      <c r="P64" s="698">
        <v>0.58170663746140727</v>
      </c>
      <c r="Q64" s="698">
        <v>0.56721682757625036</v>
      </c>
      <c r="R64" s="698">
        <v>0.56400119430202245</v>
      </c>
      <c r="S64" s="698">
        <v>0.31515102275021123</v>
      </c>
      <c r="T64" s="699">
        <v>0.31303863079165406</v>
      </c>
      <c r="U64" s="637">
        <v>0.31615543779722294</v>
      </c>
      <c r="V64" s="693">
        <v>0.31262186620293131</v>
      </c>
      <c r="W64" s="700">
        <v>0.31444647277963761</v>
      </c>
      <c r="X64" s="695"/>
      <c r="Y64" s="578" t="s">
        <v>78</v>
      </c>
      <c r="Z64" s="697">
        <v>55</v>
      </c>
      <c r="AA64" s="698">
        <v>2.7221295717516452E-2</v>
      </c>
      <c r="AB64" s="699">
        <v>2.5931009243584806E-2</v>
      </c>
      <c r="AC64" s="643">
        <v>2.8824713603495644E-2</v>
      </c>
      <c r="AD64" s="693">
        <v>2.4717113545483411E-2</v>
      </c>
      <c r="AE64" s="698">
        <v>2.7065622537519825E-2</v>
      </c>
      <c r="AF64" s="698">
        <v>3.9093341692351839E-2</v>
      </c>
      <c r="AG64" s="698">
        <v>3.5320892193015006E-2</v>
      </c>
      <c r="AH64" s="698">
        <v>4.040128666051622E-2</v>
      </c>
      <c r="AI64" s="698">
        <v>3.3335000348345703E-2</v>
      </c>
      <c r="AJ64" s="698">
        <v>3.7112454658814319E-2</v>
      </c>
      <c r="AK64" s="698">
        <v>7.9773162802110775E-2</v>
      </c>
      <c r="AL64" s="698">
        <v>8.1139090889857934E-2</v>
      </c>
      <c r="AM64" s="698">
        <v>7.9582125959981598E-2</v>
      </c>
      <c r="AN64" s="698">
        <v>7.7013202089292354E-2</v>
      </c>
      <c r="AO64" s="698">
        <v>7.6816038451877094E-2</v>
      </c>
      <c r="AP64" s="698">
        <v>3.273386575218358E-2</v>
      </c>
      <c r="AQ64" s="698">
        <v>3.0183629861882364E-2</v>
      </c>
      <c r="AR64" s="653">
        <v>3.2352193551964607E-2</v>
      </c>
      <c r="AS64" s="698">
        <v>3.0030899551228667E-2</v>
      </c>
      <c r="AT64" s="701">
        <v>3.0914302756631123E-2</v>
      </c>
    </row>
    <row r="65" spans="2:46" x14ac:dyDescent="0.25">
      <c r="B65" s="578" t="s">
        <v>78</v>
      </c>
      <c r="C65" s="697">
        <v>60</v>
      </c>
      <c r="D65" s="698">
        <v>0.23447188770914604</v>
      </c>
      <c r="E65" s="698">
        <v>0.23031404963930124</v>
      </c>
      <c r="F65" s="637">
        <v>0.24305046890348533</v>
      </c>
      <c r="G65" s="693">
        <v>0.22155043851770495</v>
      </c>
      <c r="H65" s="693">
        <v>0.23694294864069523</v>
      </c>
      <c r="I65" s="698">
        <v>0.4042104273773891</v>
      </c>
      <c r="J65" s="698">
        <v>0.38707159947622932</v>
      </c>
      <c r="K65" s="698">
        <v>0.41213433318311971</v>
      </c>
      <c r="L65" s="698">
        <v>0.36955164109800881</v>
      </c>
      <c r="M65" s="698">
        <v>0.39836368858681814</v>
      </c>
      <c r="N65" s="698">
        <v>0.54140826156375388</v>
      </c>
      <c r="O65" s="698">
        <v>0.56079544564992201</v>
      </c>
      <c r="P65" s="698">
        <v>0.54393912154302881</v>
      </c>
      <c r="Q65" s="698">
        <v>0.53225329203469418</v>
      </c>
      <c r="R65" s="698">
        <v>0.5284470790355621</v>
      </c>
      <c r="S65" s="698">
        <v>0.29781640030617618</v>
      </c>
      <c r="T65" s="699">
        <v>0.29574612450194121</v>
      </c>
      <c r="U65" s="637">
        <v>0.29898304746071863</v>
      </c>
      <c r="V65" s="693">
        <v>0.29534038332696017</v>
      </c>
      <c r="W65" s="700">
        <v>0.29716735341040074</v>
      </c>
      <c r="X65" s="695"/>
      <c r="Y65" s="578" t="s">
        <v>78</v>
      </c>
      <c r="Z65" s="697">
        <v>60</v>
      </c>
      <c r="AA65" s="698">
        <v>2.6557849805319337E-2</v>
      </c>
      <c r="AB65" s="699">
        <v>2.5361827502716094E-2</v>
      </c>
      <c r="AC65" s="643">
        <v>2.8000058812641712E-2</v>
      </c>
      <c r="AD65" s="693">
        <v>2.4437272638487315E-2</v>
      </c>
      <c r="AE65" s="698">
        <v>2.6527844003872394E-2</v>
      </c>
      <c r="AF65" s="698">
        <v>3.8140546571610173E-2</v>
      </c>
      <c r="AG65" s="698">
        <v>3.4545603937991533E-2</v>
      </c>
      <c r="AH65" s="698">
        <v>3.9245434253461699E-2</v>
      </c>
      <c r="AI65" s="698">
        <v>3.2957589906991769E-2</v>
      </c>
      <c r="AJ65" s="698">
        <v>3.637505128230574E-2</v>
      </c>
      <c r="AK65" s="698">
        <v>7.4698787751321272E-2</v>
      </c>
      <c r="AL65" s="698">
        <v>7.633174677983888E-2</v>
      </c>
      <c r="AM65" s="698">
        <v>7.4645833581501578E-2</v>
      </c>
      <c r="AN65" s="698">
        <v>7.2448602437084758E-2</v>
      </c>
      <c r="AO65" s="698">
        <v>7.2169584263245656E-2</v>
      </c>
      <c r="AP65" s="698">
        <v>3.1446146306095393E-2</v>
      </c>
      <c r="AQ65" s="698">
        <v>2.8996586958253735E-2</v>
      </c>
      <c r="AR65" s="653">
        <v>3.1089891541659843E-2</v>
      </c>
      <c r="AS65" s="698">
        <v>2.8845702545001614E-2</v>
      </c>
      <c r="AT65" s="701">
        <v>2.969966164076366E-2</v>
      </c>
    </row>
    <row r="66" spans="2:46" x14ac:dyDescent="0.25">
      <c r="B66" s="578" t="s">
        <v>78</v>
      </c>
      <c r="C66" s="697">
        <v>65</v>
      </c>
      <c r="D66" s="698">
        <v>0.23511497600414638</v>
      </c>
      <c r="E66" s="698">
        <v>0.22911948626883441</v>
      </c>
      <c r="F66" s="637">
        <v>0.24206051704383855</v>
      </c>
      <c r="G66" s="693">
        <v>0.22168816756594475</v>
      </c>
      <c r="H66" s="693">
        <v>0.2365426340576294</v>
      </c>
      <c r="I66" s="698">
        <v>0.40531905919292655</v>
      </c>
      <c r="J66" s="698">
        <v>0.38506398615343607</v>
      </c>
      <c r="K66" s="698">
        <v>0.41045569766597972</v>
      </c>
      <c r="L66" s="698">
        <v>0.36978137657560212</v>
      </c>
      <c r="M66" s="698">
        <v>0.39769065402377229</v>
      </c>
      <c r="N66" s="698">
        <v>0.5135819655647651</v>
      </c>
      <c r="O66" s="698">
        <v>0.5319271068330963</v>
      </c>
      <c r="P66" s="698">
        <v>0.51621978785438416</v>
      </c>
      <c r="Q66" s="698">
        <v>0.50483248098558442</v>
      </c>
      <c r="R66" s="698">
        <v>0.50132313929716465</v>
      </c>
      <c r="S66" s="698">
        <v>0.28619630028874554</v>
      </c>
      <c r="T66" s="699">
        <v>0.28427898947569286</v>
      </c>
      <c r="U66" s="637">
        <v>0.28722113502535257</v>
      </c>
      <c r="V66" s="693">
        <v>0.28386595063427172</v>
      </c>
      <c r="W66" s="700">
        <v>0.28557666906961948</v>
      </c>
      <c r="X66" s="695"/>
      <c r="Y66" s="578" t="s">
        <v>78</v>
      </c>
      <c r="Z66" s="697">
        <v>65</v>
      </c>
      <c r="AA66" s="698">
        <v>2.7212774984534772E-2</v>
      </c>
      <c r="AB66" s="699">
        <v>2.5667463617034338E-2</v>
      </c>
      <c r="AC66" s="643">
        <v>2.8345273475488843E-2</v>
      </c>
      <c r="AD66" s="693">
        <v>2.4906944031318691E-2</v>
      </c>
      <c r="AE66" s="698">
        <v>2.6957865270330526E-2</v>
      </c>
      <c r="AF66" s="698">
        <v>3.9081104805122863E-2</v>
      </c>
      <c r="AG66" s="698">
        <v>3.4961914006863895E-2</v>
      </c>
      <c r="AH66" s="698">
        <v>3.9729293928355711E-2</v>
      </c>
      <c r="AI66" s="698">
        <v>3.359101726956918E-2</v>
      </c>
      <c r="AJ66" s="698">
        <v>3.6964697603266206E-2</v>
      </c>
      <c r="AK66" s="698">
        <v>7.1494252653391252E-2</v>
      </c>
      <c r="AL66" s="698">
        <v>7.3063038082504847E-2</v>
      </c>
      <c r="AM66" s="698">
        <v>7.1460793145199653E-2</v>
      </c>
      <c r="AN66" s="698">
        <v>6.9340714755234165E-2</v>
      </c>
      <c r="AO66" s="698">
        <v>6.9079737112085843E-2</v>
      </c>
      <c r="AP66" s="698">
        <v>3.115220250732563E-2</v>
      </c>
      <c r="AQ66" s="698">
        <v>2.8759489624848374E-2</v>
      </c>
      <c r="AR66" s="653">
        <v>3.0725335900661416E-2</v>
      </c>
      <c r="AS66" s="698">
        <v>2.8605860161767298E-2</v>
      </c>
      <c r="AT66" s="701">
        <v>2.9418840839669613E-2</v>
      </c>
    </row>
    <row r="67" spans="2:46" x14ac:dyDescent="0.25">
      <c r="B67" s="578" t="s">
        <v>78</v>
      </c>
      <c r="C67" s="697">
        <v>70</v>
      </c>
      <c r="D67" s="698">
        <v>0.24800422764686658</v>
      </c>
      <c r="E67" s="698">
        <v>0.24010724152640919</v>
      </c>
      <c r="F67" s="637">
        <v>0.25225248370984615</v>
      </c>
      <c r="G67" s="693">
        <v>0.23232681621738802</v>
      </c>
      <c r="H67" s="693">
        <v>0.24757775302988597</v>
      </c>
      <c r="I67" s="698">
        <v>0.42753907868430979</v>
      </c>
      <c r="J67" s="698">
        <v>0.4035302847090978</v>
      </c>
      <c r="K67" s="698">
        <v>0.4277379493920096</v>
      </c>
      <c r="L67" s="698">
        <v>0.38752690709456694</v>
      </c>
      <c r="M67" s="698">
        <v>0.41624360410311256</v>
      </c>
      <c r="N67" s="698">
        <v>0.49012308036660984</v>
      </c>
      <c r="O67" s="698">
        <v>0.5076359872929086</v>
      </c>
      <c r="P67" s="698">
        <v>0.49274806138519006</v>
      </c>
      <c r="Q67" s="698">
        <v>0.48175770418042746</v>
      </c>
      <c r="R67" s="698">
        <v>0.47845091525367278</v>
      </c>
      <c r="S67" s="698">
        <v>0.27635549714548735</v>
      </c>
      <c r="T67" s="699">
        <v>0.2745364372461867</v>
      </c>
      <c r="U67" s="637">
        <v>0.27734085010976711</v>
      </c>
      <c r="V67" s="693">
        <v>0.27411775442756336</v>
      </c>
      <c r="W67" s="700">
        <v>0.27576682985680462</v>
      </c>
      <c r="X67" s="695"/>
      <c r="Y67" s="578" t="s">
        <v>78</v>
      </c>
      <c r="Z67" s="697">
        <v>70</v>
      </c>
      <c r="AA67" s="698">
        <v>2.9707205194083042E-2</v>
      </c>
      <c r="AB67" s="699">
        <v>2.7925963827796354E-2</v>
      </c>
      <c r="AC67" s="643">
        <v>3.0336428098511434E-2</v>
      </c>
      <c r="AD67" s="693">
        <v>2.7101219671758769E-2</v>
      </c>
      <c r="AE67" s="698">
        <v>2.9182870196096982E-2</v>
      </c>
      <c r="AF67" s="698">
        <v>4.2663432903004166E-2</v>
      </c>
      <c r="AG67" s="698">
        <v>3.8038240181170517E-2</v>
      </c>
      <c r="AH67" s="698">
        <v>4.2520135489410874E-2</v>
      </c>
      <c r="AI67" s="698">
        <v>3.6550350652240902E-2</v>
      </c>
      <c r="AJ67" s="698">
        <v>4.0015630361553062E-2</v>
      </c>
      <c r="AK67" s="698">
        <v>6.8836489716366495E-2</v>
      </c>
      <c r="AL67" s="698">
        <v>7.0359750986052572E-2</v>
      </c>
      <c r="AM67" s="698">
        <v>6.8803746152348563E-2</v>
      </c>
      <c r="AN67" s="698">
        <v>6.6769972924650409E-2</v>
      </c>
      <c r="AO67" s="698">
        <v>6.6516637656531194E-2</v>
      </c>
      <c r="AP67" s="698">
        <v>3.0916317000215281E-2</v>
      </c>
      <c r="AQ67" s="698">
        <v>2.8571845861130377E-2</v>
      </c>
      <c r="AR67" s="653">
        <v>3.0426343663009094E-2</v>
      </c>
      <c r="AS67" s="698">
        <v>2.8415960501430814E-2</v>
      </c>
      <c r="AT67" s="701">
        <v>2.9193138851754424E-2</v>
      </c>
    </row>
    <row r="68" spans="2:46" ht="15.75" thickBot="1" x14ac:dyDescent="0.3">
      <c r="B68" s="579" t="s">
        <v>78</v>
      </c>
      <c r="C68" s="702">
        <v>75</v>
      </c>
      <c r="D68" s="703">
        <v>0.27133116175263888</v>
      </c>
      <c r="E68" s="703">
        <v>0.26261884554392739</v>
      </c>
      <c r="F68" s="638">
        <v>0.2722023551247082</v>
      </c>
      <c r="G68" s="704">
        <v>0.25415275335443532</v>
      </c>
      <c r="H68" s="704">
        <v>0.26965487460387366</v>
      </c>
      <c r="I68" s="703">
        <v>0.46775281217885445</v>
      </c>
      <c r="J68" s="703">
        <v>0.44136385407875983</v>
      </c>
      <c r="K68" s="703">
        <v>0.4615664253860966</v>
      </c>
      <c r="L68" s="703">
        <v>0.42393311301978442</v>
      </c>
      <c r="M68" s="703">
        <v>0.45336107746135051</v>
      </c>
      <c r="N68" s="703">
        <v>0.47226881064300241</v>
      </c>
      <c r="O68" s="703">
        <v>0.48920503310161823</v>
      </c>
      <c r="P68" s="703">
        <v>0.47477880875256218</v>
      </c>
      <c r="Q68" s="703">
        <v>0.46424451863979105</v>
      </c>
      <c r="R68" s="703">
        <v>0.46104149876148298</v>
      </c>
      <c r="S68" s="703">
        <v>0.27179404521652756</v>
      </c>
      <c r="T68" s="705">
        <v>0.2701475088001159</v>
      </c>
      <c r="U68" s="638">
        <v>0.2724794292015692</v>
      </c>
      <c r="V68" s="693">
        <v>0.26971653131896045</v>
      </c>
      <c r="W68" s="706">
        <v>0.27120591063650362</v>
      </c>
      <c r="X68" s="695"/>
      <c r="Y68" s="579" t="s">
        <v>78</v>
      </c>
      <c r="Z68" s="702">
        <v>75</v>
      </c>
      <c r="AA68" s="703">
        <v>3.333856420116578E-2</v>
      </c>
      <c r="AB68" s="705">
        <v>3.1431833054442103E-2</v>
      </c>
      <c r="AC68" s="644">
        <v>3.3409820879097246E-2</v>
      </c>
      <c r="AD68" s="704">
        <v>3.0508104388903817E-2</v>
      </c>
      <c r="AE68" s="703">
        <v>3.2612211993698979E-2</v>
      </c>
      <c r="AF68" s="703">
        <v>4.7878539485169354E-2</v>
      </c>
      <c r="AG68" s="703">
        <v>4.2813620415466581E-2</v>
      </c>
      <c r="AH68" s="703">
        <v>4.6827863380721126E-2</v>
      </c>
      <c r="AI68" s="703">
        <v>4.1145082275082685E-2</v>
      </c>
      <c r="AJ68" s="703">
        <v>4.4717953088349784E-2</v>
      </c>
      <c r="AK68" s="703">
        <v>6.6994622286943153E-2</v>
      </c>
      <c r="AL68" s="703">
        <v>6.850208459942192E-2</v>
      </c>
      <c r="AM68" s="703">
        <v>6.6934767162231623E-2</v>
      </c>
      <c r="AN68" s="703">
        <v>6.5001593670827446E-2</v>
      </c>
      <c r="AO68" s="703">
        <v>6.4740274977864221E-2</v>
      </c>
      <c r="AP68" s="703">
        <v>3.121537905748669E-2</v>
      </c>
      <c r="AQ68" s="703">
        <v>2.8890476139981417E-2</v>
      </c>
      <c r="AR68" s="654">
        <v>3.0623161152061557E-2</v>
      </c>
      <c r="AS68" s="703">
        <v>2.8729791692803101E-2</v>
      </c>
      <c r="AT68" s="707">
        <v>2.9470729649014031E-2</v>
      </c>
    </row>
    <row r="69" spans="2:46" x14ac:dyDescent="0.25">
      <c r="B69" s="595" t="s">
        <v>378</v>
      </c>
      <c r="C69" s="596">
        <v>2.5</v>
      </c>
      <c r="D69" s="601">
        <v>4.2125543374141705E-2</v>
      </c>
      <c r="E69" s="601">
        <v>4.2056526403342051E-2</v>
      </c>
      <c r="F69" s="639">
        <v>4.2660434604782332E-2</v>
      </c>
      <c r="G69" s="622">
        <v>4.140940527167921E-2</v>
      </c>
      <c r="H69" s="622">
        <v>4.2821040105767108E-2</v>
      </c>
      <c r="I69" s="601">
        <v>5.1590555315000522E-2</v>
      </c>
      <c r="J69" s="601">
        <v>5.0569534408682462E-2</v>
      </c>
      <c r="K69" s="601">
        <v>5.1548022270625174E-2</v>
      </c>
      <c r="L69" s="601">
        <v>4.9372639170967542E-2</v>
      </c>
      <c r="M69" s="601">
        <v>5.1432672920399498E-2</v>
      </c>
      <c r="N69" s="601">
        <v>7.0370616571243189E-2</v>
      </c>
      <c r="O69" s="601">
        <v>6.676569216098667E-2</v>
      </c>
      <c r="P69" s="601">
        <v>7.0298858854925567E-2</v>
      </c>
      <c r="Q69" s="601">
        <v>5.9928765811306947E-2</v>
      </c>
      <c r="R69" s="601">
        <v>6.7224526114899957E-2</v>
      </c>
      <c r="S69" s="601">
        <v>7.2736851865639135E-2</v>
      </c>
      <c r="T69" s="611">
        <v>7.1526564521644617E-2</v>
      </c>
      <c r="U69" s="645">
        <v>7.301689974162516E-2</v>
      </c>
      <c r="V69" s="623">
        <v>6.6366638301346495E-2</v>
      </c>
      <c r="W69" s="633">
        <v>7.3891026407341867E-2</v>
      </c>
      <c r="Y69" s="595" t="s">
        <v>378</v>
      </c>
      <c r="Z69" s="596">
        <v>2.5</v>
      </c>
      <c r="AA69" s="601">
        <v>9.003954572096096E-3</v>
      </c>
      <c r="AB69" s="611">
        <v>8.9678718014158231E-3</v>
      </c>
      <c r="AC69" s="645">
        <v>9.1069773960065162E-3</v>
      </c>
      <c r="AD69" s="622">
        <v>8.8177523562306143E-3</v>
      </c>
      <c r="AE69" s="601">
        <v>9.1297532491549094E-3</v>
      </c>
      <c r="AF69" s="601">
        <v>1.1354339776586285E-2</v>
      </c>
      <c r="AG69" s="601">
        <v>1.1106953902232078E-2</v>
      </c>
      <c r="AH69" s="601">
        <v>1.1333915439133598E-2</v>
      </c>
      <c r="AI69" s="601">
        <v>1.0828970821159193E-2</v>
      </c>
      <c r="AJ69" s="601">
        <v>1.1294601388980807E-2</v>
      </c>
      <c r="AK69" s="601">
        <v>5.966764982774822E-2</v>
      </c>
      <c r="AL69" s="601">
        <v>5.6792290313953164E-2</v>
      </c>
      <c r="AM69" s="601">
        <v>5.9605748149691745E-2</v>
      </c>
      <c r="AN69" s="601">
        <v>5.1140404654426617E-2</v>
      </c>
      <c r="AO69" s="601">
        <v>5.7189654878804536E-2</v>
      </c>
      <c r="AP69" s="601">
        <v>5.9253461045284908E-2</v>
      </c>
      <c r="AQ69" s="601">
        <v>5.8748773195035381E-2</v>
      </c>
      <c r="AR69" s="655">
        <v>5.9830833225169966E-2</v>
      </c>
      <c r="AS69" s="601">
        <v>5.5379864535874818E-2</v>
      </c>
      <c r="AT69" s="602">
        <v>6.1071579387642821E-2</v>
      </c>
    </row>
    <row r="70" spans="2:46" x14ac:dyDescent="0.25">
      <c r="B70" s="587" t="s">
        <v>378</v>
      </c>
      <c r="C70" s="588">
        <v>5</v>
      </c>
      <c r="D70" s="589">
        <v>2.3496981449278462E-2</v>
      </c>
      <c r="E70" s="589">
        <v>2.377616808456658E-2</v>
      </c>
      <c r="F70" s="640">
        <v>2.3674683283788505E-2</v>
      </c>
      <c r="G70" s="623">
        <v>2.3410325252426964E-2</v>
      </c>
      <c r="H70" s="623">
        <v>2.4041820879744002E-2</v>
      </c>
      <c r="I70" s="589">
        <v>2.8776419817973214E-2</v>
      </c>
      <c r="J70" s="589">
        <v>2.8588898154070137E-2</v>
      </c>
      <c r="K70" s="589">
        <v>2.8606907371401223E-2</v>
      </c>
      <c r="L70" s="589">
        <v>2.7912246842954853E-2</v>
      </c>
      <c r="M70" s="589">
        <v>2.8876811648303913E-2</v>
      </c>
      <c r="N70" s="589">
        <v>3.6592780411147004E-2</v>
      </c>
      <c r="O70" s="589">
        <v>3.3719349147619052E-2</v>
      </c>
      <c r="P70" s="589">
        <v>3.7012389545647936E-2</v>
      </c>
      <c r="Q70" s="589">
        <v>3.026642776643319E-2</v>
      </c>
      <c r="R70" s="589">
        <v>3.4502398197085296E-2</v>
      </c>
      <c r="S70" s="589">
        <v>4.0196629400659607E-2</v>
      </c>
      <c r="T70" s="612">
        <v>3.9425826248270686E-2</v>
      </c>
      <c r="U70" s="646">
        <v>4.062475832366657E-2</v>
      </c>
      <c r="V70" s="623">
        <v>3.6581645952765939E-2</v>
      </c>
      <c r="W70" s="634">
        <v>4.0856108619776607E-2</v>
      </c>
      <c r="Y70" s="587" t="s">
        <v>378</v>
      </c>
      <c r="Z70" s="588">
        <v>5</v>
      </c>
      <c r="AA70" s="589">
        <v>5.012568924859467E-3</v>
      </c>
      <c r="AB70" s="612">
        <v>5.0633706642122999E-3</v>
      </c>
      <c r="AC70" s="646">
        <v>5.0451151770087542E-3</v>
      </c>
      <c r="AD70" s="623">
        <v>4.9786108981131668E-3</v>
      </c>
      <c r="AE70" s="589">
        <v>5.1182828046596913E-3</v>
      </c>
      <c r="AF70" s="589">
        <v>6.3210459660463028E-3</v>
      </c>
      <c r="AG70" s="589">
        <v>6.2711227148052493E-3</v>
      </c>
      <c r="AH70" s="589">
        <v>6.2788020998032837E-3</v>
      </c>
      <c r="AI70" s="589">
        <v>6.1141694581020537E-3</v>
      </c>
      <c r="AJ70" s="589">
        <v>6.3319306116030021E-3</v>
      </c>
      <c r="AK70" s="589">
        <v>3.1075796395442154E-2</v>
      </c>
      <c r="AL70" s="589">
        <v>2.8737284819249708E-2</v>
      </c>
      <c r="AM70" s="589">
        <v>3.1429552275787372E-2</v>
      </c>
      <c r="AN70" s="589">
        <v>2.5877391282923635E-2</v>
      </c>
      <c r="AO70" s="589">
        <v>2.9403645464746758E-2</v>
      </c>
      <c r="AP70" s="589">
        <v>3.2838717023854852E-2</v>
      </c>
      <c r="AQ70" s="589">
        <v>3.2477301515375416E-2</v>
      </c>
      <c r="AR70" s="585">
        <v>3.3377736297880788E-2</v>
      </c>
      <c r="AS70" s="589">
        <v>3.0614913320335939E-2</v>
      </c>
      <c r="AT70" s="590">
        <v>3.3863962531733967E-2</v>
      </c>
    </row>
    <row r="71" spans="2:46" x14ac:dyDescent="0.25">
      <c r="B71" s="587" t="s">
        <v>378</v>
      </c>
      <c r="C71" s="588">
        <v>10</v>
      </c>
      <c r="D71" s="589">
        <v>1.4179388915930959E-2</v>
      </c>
      <c r="E71" s="589">
        <v>1.4635924688377459E-2</v>
      </c>
      <c r="F71" s="640">
        <v>1.4044134591734724E-2</v>
      </c>
      <c r="G71" s="623">
        <v>1.4410722690183179E-2</v>
      </c>
      <c r="H71" s="623">
        <v>1.4608402429460028E-2</v>
      </c>
      <c r="I71" s="589">
        <v>1.736529643554173E-2</v>
      </c>
      <c r="J71" s="589">
        <v>1.7598502787262386E-2</v>
      </c>
      <c r="K71" s="589">
        <v>1.6969995017942052E-2</v>
      </c>
      <c r="L71" s="589">
        <v>1.7181976097152399E-2</v>
      </c>
      <c r="M71" s="589">
        <v>1.7546261888739031E-2</v>
      </c>
      <c r="N71" s="589">
        <v>2.3373228657748133E-2</v>
      </c>
      <c r="O71" s="589">
        <v>2.0778080643224613E-2</v>
      </c>
      <c r="P71" s="589">
        <v>2.3317001940539643E-2</v>
      </c>
      <c r="Q71" s="589">
        <v>1.8650368195427845E-2</v>
      </c>
      <c r="R71" s="589">
        <v>2.1485468724595534E-2</v>
      </c>
      <c r="S71" s="589">
        <v>2.5484125203988697E-2</v>
      </c>
      <c r="T71" s="612">
        <v>2.5184434178036372E-2</v>
      </c>
      <c r="U71" s="646">
        <v>2.5293013307440888E-2</v>
      </c>
      <c r="V71" s="623">
        <v>2.3367629147438191E-2</v>
      </c>
      <c r="W71" s="634">
        <v>2.5875939668651489E-2</v>
      </c>
      <c r="Y71" s="587" t="s">
        <v>378</v>
      </c>
      <c r="Z71" s="588">
        <v>10</v>
      </c>
      <c r="AA71" s="589">
        <v>3.0176615423950703E-3</v>
      </c>
      <c r="AB71" s="612">
        <v>3.1111066983594829E-3</v>
      </c>
      <c r="AC71" s="646">
        <v>2.9858548753609057E-3</v>
      </c>
      <c r="AD71" s="623">
        <v>3.0590275167057118E-3</v>
      </c>
      <c r="AE71" s="589">
        <v>3.1036658658996686E-3</v>
      </c>
      <c r="AF71" s="589">
        <v>3.8053895328699562E-3</v>
      </c>
      <c r="AG71" s="589">
        <v>3.853190528230876E-3</v>
      </c>
      <c r="AH71" s="589">
        <v>3.7159888730705572E-3</v>
      </c>
      <c r="AI71" s="589">
        <v>3.7567532383830601E-3</v>
      </c>
      <c r="AJ71" s="589">
        <v>3.8396074727613848E-3</v>
      </c>
      <c r="AK71" s="589">
        <v>1.9838891288643717E-2</v>
      </c>
      <c r="AL71" s="589">
        <v>1.774081366551683E-2</v>
      </c>
      <c r="AM71" s="589">
        <v>1.9788990120916384E-2</v>
      </c>
      <c r="AN71" s="589">
        <v>1.5975273230841153E-2</v>
      </c>
      <c r="AO71" s="589">
        <v>1.8325659092434988E-2</v>
      </c>
      <c r="AP71" s="589">
        <v>2.0677178365016875E-2</v>
      </c>
      <c r="AQ71" s="589">
        <v>2.0601374524710378E-2</v>
      </c>
      <c r="AR71" s="585">
        <v>2.064581049299602E-2</v>
      </c>
      <c r="AS71" s="589">
        <v>1.9420003076829343E-2</v>
      </c>
      <c r="AT71" s="590">
        <v>2.1301384948810287E-2</v>
      </c>
    </row>
    <row r="72" spans="2:46" ht="18" customHeight="1" x14ac:dyDescent="0.25">
      <c r="B72" s="587" t="s">
        <v>378</v>
      </c>
      <c r="C72" s="588">
        <v>15</v>
      </c>
      <c r="D72" s="589">
        <v>1.1223259807890216E-2</v>
      </c>
      <c r="E72" s="589">
        <v>1.1589197443521647E-2</v>
      </c>
      <c r="F72" s="640">
        <v>1.1105662312348131E-2</v>
      </c>
      <c r="G72" s="623">
        <v>1.1410875252420774E-2</v>
      </c>
      <c r="H72" s="623">
        <v>1.1562314252211487E-2</v>
      </c>
      <c r="I72" s="589">
        <v>1.3744967056947301E-2</v>
      </c>
      <c r="J72" s="589">
        <v>1.3935062379345983E-2</v>
      </c>
      <c r="K72" s="589">
        <v>1.3419341211840078E-2</v>
      </c>
      <c r="L72" s="589">
        <v>1.3605243126928105E-2</v>
      </c>
      <c r="M72" s="589">
        <v>1.3887582498417074E-2</v>
      </c>
      <c r="N72" s="589">
        <v>1.9428692415911757E-2</v>
      </c>
      <c r="O72" s="589">
        <v>1.4229804668032803E-2</v>
      </c>
      <c r="P72" s="589">
        <v>1.9299751508757235E-2</v>
      </c>
      <c r="Q72" s="589">
        <v>1.2772647337585975E-2</v>
      </c>
      <c r="R72" s="589">
        <v>1.6021903364720303E-2</v>
      </c>
      <c r="S72" s="589">
        <v>2.2716614222364918E-2</v>
      </c>
      <c r="T72" s="612">
        <v>2.2514379535573177E-2</v>
      </c>
      <c r="U72" s="646">
        <v>2.2384966666429456E-2</v>
      </c>
      <c r="V72" s="623">
        <v>2.0890192241573499E-2</v>
      </c>
      <c r="W72" s="634">
        <v>2.3056090392943436E-2</v>
      </c>
      <c r="Y72" s="587" t="s">
        <v>378</v>
      </c>
      <c r="Z72" s="588">
        <v>15</v>
      </c>
      <c r="AA72" s="589">
        <v>2.3876617827686959E-3</v>
      </c>
      <c r="AB72" s="612">
        <v>2.4603545571305402E-3</v>
      </c>
      <c r="AC72" s="646">
        <v>2.3597546670678705E-3</v>
      </c>
      <c r="AD72" s="623">
        <v>2.4191682715981912E-3</v>
      </c>
      <c r="AE72" s="589">
        <v>2.4540824499674502E-3</v>
      </c>
      <c r="AF72" s="589">
        <v>3.0109351325630154E-3</v>
      </c>
      <c r="AG72" s="589">
        <v>3.0472162464322038E-3</v>
      </c>
      <c r="AH72" s="589">
        <v>2.9367877716898827E-3</v>
      </c>
      <c r="AI72" s="589">
        <v>2.9709501431053552E-3</v>
      </c>
      <c r="AJ72" s="589">
        <v>3.035994762579315E-3</v>
      </c>
      <c r="AK72" s="589">
        <v>1.6472320310549252E-2</v>
      </c>
      <c r="AL72" s="589">
        <v>1.218667467651709E-2</v>
      </c>
      <c r="AM72" s="589">
        <v>1.6359895601823615E-2</v>
      </c>
      <c r="AN72" s="589">
        <v>1.0973874186782437E-2</v>
      </c>
      <c r="AO72" s="589">
        <v>1.3678838004198919E-2</v>
      </c>
      <c r="AP72" s="589">
        <v>1.8369440464426241E-2</v>
      </c>
      <c r="AQ72" s="589">
        <v>1.8354225921065784E-2</v>
      </c>
      <c r="AR72" s="585">
        <v>1.8212307885428242E-2</v>
      </c>
      <c r="AS72" s="589">
        <v>1.7301715642036933E-2</v>
      </c>
      <c r="AT72" s="590">
        <v>1.8916043104530031E-2</v>
      </c>
    </row>
    <row r="73" spans="2:46" ht="18" customHeight="1" x14ac:dyDescent="0.25">
      <c r="B73" s="587" t="s">
        <v>378</v>
      </c>
      <c r="C73" s="588">
        <v>20</v>
      </c>
      <c r="D73" s="589">
        <v>9.3450464148497423E-3</v>
      </c>
      <c r="E73" s="589">
        <v>1.0008870584015566E-2</v>
      </c>
      <c r="F73" s="640">
        <v>9.2869572889815524E-3</v>
      </c>
      <c r="G73" s="623">
        <v>9.8548647898751059E-3</v>
      </c>
      <c r="H73" s="623">
        <v>9.8604007733503179E-3</v>
      </c>
      <c r="I73" s="589">
        <v>1.1444745761605882E-2</v>
      </c>
      <c r="J73" s="589">
        <v>1.2034848540182906E-2</v>
      </c>
      <c r="K73" s="589">
        <v>1.122173943125042E-2</v>
      </c>
      <c r="L73" s="589">
        <v>1.1750004139324016E-2</v>
      </c>
      <c r="M73" s="589">
        <v>1.1843401435068809E-2</v>
      </c>
      <c r="N73" s="589">
        <v>1.7168018910761827E-2</v>
      </c>
      <c r="O73" s="589">
        <v>1.3379388516367522E-2</v>
      </c>
      <c r="P73" s="589">
        <v>1.7102328633643069E-2</v>
      </c>
      <c r="Q73" s="589">
        <v>1.2009315313794448E-2</v>
      </c>
      <c r="R73" s="589">
        <v>1.4652321973640402E-2</v>
      </c>
      <c r="S73" s="589">
        <v>2.0056863730666334E-2</v>
      </c>
      <c r="T73" s="612">
        <v>1.9854687722667394E-2</v>
      </c>
      <c r="U73" s="646">
        <v>1.9822984735951267E-2</v>
      </c>
      <c r="V73" s="623">
        <v>1.8422370590678205E-2</v>
      </c>
      <c r="W73" s="634">
        <v>2.0360232057886715E-2</v>
      </c>
      <c r="Y73" s="587" t="s">
        <v>378</v>
      </c>
      <c r="Z73" s="588">
        <v>20</v>
      </c>
      <c r="AA73" s="589">
        <v>1.9924822450795338E-3</v>
      </c>
      <c r="AB73" s="612">
        <v>2.1236648591169485E-3</v>
      </c>
      <c r="AC73" s="646">
        <v>1.9768540832454558E-3</v>
      </c>
      <c r="AD73" s="623">
        <v>2.0881149917485781E-3</v>
      </c>
      <c r="AE73" s="589">
        <v>2.0936100129825856E-3</v>
      </c>
      <c r="AF73" s="589">
        <v>2.512598239840058E-3</v>
      </c>
      <c r="AG73" s="589">
        <v>2.6302168693221285E-3</v>
      </c>
      <c r="AH73" s="589">
        <v>2.4602561355686419E-3</v>
      </c>
      <c r="AI73" s="589">
        <v>2.564387771776411E-3</v>
      </c>
      <c r="AJ73" s="589">
        <v>2.5900470599034054E-3</v>
      </c>
      <c r="AK73" s="589">
        <v>1.4544059375142027E-2</v>
      </c>
      <c r="AL73" s="589">
        <v>1.1440501071444016E-2</v>
      </c>
      <c r="AM73" s="589">
        <v>1.4484027955963931E-2</v>
      </c>
      <c r="AN73" s="589">
        <v>1.030195874664382E-2</v>
      </c>
      <c r="AO73" s="589">
        <v>1.2494996999127679E-2</v>
      </c>
      <c r="AP73" s="589">
        <v>1.6120082801214856E-2</v>
      </c>
      <c r="AQ73" s="589">
        <v>1.6085500028494432E-2</v>
      </c>
      <c r="AR73" s="585">
        <v>1.6035465298014265E-2</v>
      </c>
      <c r="AS73" s="589">
        <v>1.5163088252806793E-2</v>
      </c>
      <c r="AT73" s="590">
        <v>1.6603184207045121E-2</v>
      </c>
    </row>
    <row r="74" spans="2:46" ht="18" customHeight="1" x14ac:dyDescent="0.25">
      <c r="B74" s="587" t="s">
        <v>378</v>
      </c>
      <c r="C74" s="588">
        <v>25</v>
      </c>
      <c r="D74" s="589">
        <v>8.3612253137151146E-3</v>
      </c>
      <c r="E74" s="589">
        <v>8.9459410154436939E-3</v>
      </c>
      <c r="F74" s="640">
        <v>8.3243432475331395E-3</v>
      </c>
      <c r="G74" s="623">
        <v>8.8082904632461722E-3</v>
      </c>
      <c r="H74" s="623">
        <v>8.8214304999140493E-3</v>
      </c>
      <c r="I74" s="589">
        <v>1.0239874016988653E-2</v>
      </c>
      <c r="J74" s="589">
        <v>1.0756762640353816E-2</v>
      </c>
      <c r="K74" s="589">
        <v>1.0058580862747777E-2</v>
      </c>
      <c r="L74" s="589">
        <v>1.050216838183758E-2</v>
      </c>
      <c r="M74" s="589">
        <v>1.059548643544065E-2</v>
      </c>
      <c r="N74" s="589">
        <v>1.5486012175394491E-2</v>
      </c>
      <c r="O74" s="589">
        <v>1.2732809560376252E-2</v>
      </c>
      <c r="P74" s="589">
        <v>1.5531826074295558E-2</v>
      </c>
      <c r="Q74" s="589">
        <v>1.1428947193961174E-2</v>
      </c>
      <c r="R74" s="589">
        <v>1.3644912926035313E-2</v>
      </c>
      <c r="S74" s="589">
        <v>1.8633892329641265E-2</v>
      </c>
      <c r="T74" s="612">
        <v>1.841421546268477E-2</v>
      </c>
      <c r="U74" s="646">
        <v>1.8496772880462139E-2</v>
      </c>
      <c r="V74" s="623">
        <v>1.7085813996642434E-2</v>
      </c>
      <c r="W74" s="634">
        <v>1.8920865312219447E-2</v>
      </c>
      <c r="Y74" s="587" t="s">
        <v>378</v>
      </c>
      <c r="Z74" s="588">
        <v>25</v>
      </c>
      <c r="AA74" s="589">
        <v>1.7827631473912187E-3</v>
      </c>
      <c r="AB74" s="612">
        <v>1.8988701544062298E-3</v>
      </c>
      <c r="AC74" s="646">
        <v>1.771610864582432E-3</v>
      </c>
      <c r="AD74" s="623">
        <v>1.8670834431270174E-3</v>
      </c>
      <c r="AE74" s="589">
        <v>1.8733618328972375E-3</v>
      </c>
      <c r="AF74" s="589">
        <v>2.2481342341939391E-3</v>
      </c>
      <c r="AG74" s="589">
        <v>2.3518024943202875E-3</v>
      </c>
      <c r="AH74" s="589">
        <v>2.2048245929579863E-3</v>
      </c>
      <c r="AI74" s="589">
        <v>2.2929417054909093E-3</v>
      </c>
      <c r="AJ74" s="589">
        <v>2.3175736060405943E-3</v>
      </c>
      <c r="AK74" s="589">
        <v>1.312863216068162E-2</v>
      </c>
      <c r="AL74" s="589">
        <v>1.0879805689157069E-2</v>
      </c>
      <c r="AM74" s="589">
        <v>1.3161124546321547E-2</v>
      </c>
      <c r="AN74" s="589">
        <v>9.7970629678940831E-3</v>
      </c>
      <c r="AO74" s="589">
        <v>1.1634997259798512E-2</v>
      </c>
      <c r="AP74" s="589">
        <v>1.5004943856433802E-2</v>
      </c>
      <c r="AQ74" s="589">
        <v>1.4946960192771331E-2</v>
      </c>
      <c r="AR74" s="585">
        <v>1.4991167793538852E-2</v>
      </c>
      <c r="AS74" s="589">
        <v>1.4089837189609615E-2</v>
      </c>
      <c r="AT74" s="590">
        <v>1.5458878163364014E-2</v>
      </c>
    </row>
    <row r="75" spans="2:46" ht="18" customHeight="1" x14ac:dyDescent="0.25">
      <c r="B75" s="587" t="s">
        <v>378</v>
      </c>
      <c r="C75" s="588">
        <v>30</v>
      </c>
      <c r="D75" s="589">
        <v>7.7460457805864453E-3</v>
      </c>
      <c r="E75" s="589">
        <v>7.9929142087528261E-3</v>
      </c>
      <c r="F75" s="640">
        <v>7.7653345182478045E-3</v>
      </c>
      <c r="G75" s="623">
        <v>7.8699278070037352E-3</v>
      </c>
      <c r="H75" s="623">
        <v>8.0082924013135E-3</v>
      </c>
      <c r="I75" s="589">
        <v>9.4864723706133951E-3</v>
      </c>
      <c r="J75" s="589">
        <v>9.610825825906848E-3</v>
      </c>
      <c r="K75" s="589">
        <v>9.3831120192249314E-3</v>
      </c>
      <c r="L75" s="589">
        <v>9.38335393535592E-3</v>
      </c>
      <c r="M75" s="589">
        <v>9.6188201573414178E-3</v>
      </c>
      <c r="N75" s="589">
        <v>1.5043930329882792E-2</v>
      </c>
      <c r="O75" s="589">
        <v>1.2615768550218535E-2</v>
      </c>
      <c r="P75" s="589">
        <v>1.5164116430965357E-2</v>
      </c>
      <c r="Q75" s="589">
        <v>1.1323891391604474E-2</v>
      </c>
      <c r="R75" s="589">
        <v>1.3425533641916012E-2</v>
      </c>
      <c r="S75" s="589">
        <v>1.8309116815537738E-2</v>
      </c>
      <c r="T75" s="612">
        <v>1.8071532096979811E-2</v>
      </c>
      <c r="U75" s="646">
        <v>1.8229100853303874E-2</v>
      </c>
      <c r="V75" s="623">
        <v>1.67678518082581E-2</v>
      </c>
      <c r="W75" s="634">
        <v>1.8594585973351233E-2</v>
      </c>
      <c r="Y75" s="587" t="s">
        <v>378</v>
      </c>
      <c r="Z75" s="588">
        <v>30</v>
      </c>
      <c r="AA75" s="589">
        <v>1.6513192498827044E-3</v>
      </c>
      <c r="AB75" s="612">
        <v>1.6972421763878128E-3</v>
      </c>
      <c r="AC75" s="646">
        <v>1.6524333637463727E-3</v>
      </c>
      <c r="AD75" s="623">
        <v>1.6688307091390414E-3</v>
      </c>
      <c r="AE75" s="589">
        <v>1.7010272607061502E-3</v>
      </c>
      <c r="AF75" s="589">
        <v>2.0823783252852364E-3</v>
      </c>
      <c r="AG75" s="589">
        <v>2.1020807423994745E-3</v>
      </c>
      <c r="AH75" s="589">
        <v>2.0565045018907258E-3</v>
      </c>
      <c r="AI75" s="589">
        <v>2.0494700151055642E-3</v>
      </c>
      <c r="AJ75" s="589">
        <v>2.1043750402831851E-3</v>
      </c>
      <c r="AK75" s="589">
        <v>1.2730651829902762E-2</v>
      </c>
      <c r="AL75" s="589">
        <v>1.0759520237093492E-2</v>
      </c>
      <c r="AM75" s="589">
        <v>1.282635854752614E-2</v>
      </c>
      <c r="AN75" s="589">
        <v>9.6887481522018454E-3</v>
      </c>
      <c r="AO75" s="589">
        <v>1.1426948240637461E-2</v>
      </c>
      <c r="AP75" s="589">
        <v>1.4713340319305546E-2</v>
      </c>
      <c r="AQ75" s="589">
        <v>1.4637803902885771E-2</v>
      </c>
      <c r="AR75" s="585">
        <v>1.4746416825121554E-2</v>
      </c>
      <c r="AS75" s="589">
        <v>1.3798409251461304E-2</v>
      </c>
      <c r="AT75" s="590">
        <v>1.5161380877061814E-2</v>
      </c>
    </row>
    <row r="76" spans="2:46" ht="18" customHeight="1" x14ac:dyDescent="0.25">
      <c r="B76" s="587" t="s">
        <v>378</v>
      </c>
      <c r="C76" s="588">
        <v>35</v>
      </c>
      <c r="D76" s="589">
        <v>7.5207841800164158E-3</v>
      </c>
      <c r="E76" s="589">
        <v>7.5901705475262113E-3</v>
      </c>
      <c r="F76" s="640">
        <v>7.6180346145343966E-3</v>
      </c>
      <c r="G76" s="623">
        <v>7.445696934060924E-3</v>
      </c>
      <c r="H76" s="623">
        <v>7.6831889897892866E-3</v>
      </c>
      <c r="I76" s="589">
        <v>9.2105976842897664E-3</v>
      </c>
      <c r="J76" s="589">
        <v>9.1265595020798857E-3</v>
      </c>
      <c r="K76" s="589">
        <v>9.2051246455044453E-3</v>
      </c>
      <c r="L76" s="589">
        <v>8.8775413626427605E-3</v>
      </c>
      <c r="M76" s="589">
        <v>9.2283360077520908E-3</v>
      </c>
      <c r="N76" s="589">
        <v>1.2695705992737063E-2</v>
      </c>
      <c r="O76" s="589">
        <v>1.1034200616130767E-2</v>
      </c>
      <c r="P76" s="589">
        <v>1.3014654904612299E-2</v>
      </c>
      <c r="Q76" s="589">
        <v>9.9042788295347697E-3</v>
      </c>
      <c r="R76" s="589">
        <v>1.1627884855136935E-2</v>
      </c>
      <c r="S76" s="589">
        <v>1.5524272971513937E-2</v>
      </c>
      <c r="T76" s="612">
        <v>1.5241592811649872E-2</v>
      </c>
      <c r="U76" s="646">
        <v>1.5660842134107678E-2</v>
      </c>
      <c r="V76" s="623">
        <v>1.4142064337216728E-2</v>
      </c>
      <c r="W76" s="634">
        <v>1.5779376250858422E-2</v>
      </c>
      <c r="Y76" s="587" t="s">
        <v>378</v>
      </c>
      <c r="Z76" s="588">
        <v>35</v>
      </c>
      <c r="AA76" s="589">
        <v>1.6043158723853122E-3</v>
      </c>
      <c r="AB76" s="612">
        <v>1.6132723593157608E-3</v>
      </c>
      <c r="AC76" s="646">
        <v>1.6222269970653696E-3</v>
      </c>
      <c r="AD76" s="623">
        <v>1.5807197601227264E-3</v>
      </c>
      <c r="AE76" s="589">
        <v>1.6335302180520246E-3</v>
      </c>
      <c r="AF76" s="589">
        <v>2.0231052231744718E-3</v>
      </c>
      <c r="AG76" s="589">
        <v>1.9980818329535452E-3</v>
      </c>
      <c r="AH76" s="589">
        <v>2.0189117429764369E-3</v>
      </c>
      <c r="AI76" s="589">
        <v>1.9412620662569986E-3</v>
      </c>
      <c r="AJ76" s="589">
        <v>2.0208730911167113E-3</v>
      </c>
      <c r="AK76" s="589">
        <v>1.075817170052139E-2</v>
      </c>
      <c r="AL76" s="589">
        <v>9.4186959389733864E-3</v>
      </c>
      <c r="AM76" s="589">
        <v>1.1021708727629738E-2</v>
      </c>
      <c r="AN76" s="589">
        <v>8.4813607729716557E-3</v>
      </c>
      <c r="AO76" s="589">
        <v>9.9072728144896996E-3</v>
      </c>
      <c r="AP76" s="589">
        <v>1.2374130374890288E-2</v>
      </c>
      <c r="AQ76" s="589">
        <v>1.2241273099255627E-2</v>
      </c>
      <c r="AR76" s="585">
        <v>1.2575775426446041E-2</v>
      </c>
      <c r="AS76" s="589">
        <v>1.153930585097618E-2</v>
      </c>
      <c r="AT76" s="590">
        <v>1.2762098768663931E-2</v>
      </c>
    </row>
    <row r="77" spans="2:46" x14ac:dyDescent="0.25">
      <c r="B77" s="587" t="s">
        <v>378</v>
      </c>
      <c r="C77" s="588">
        <v>40</v>
      </c>
      <c r="D77" s="589">
        <v>7.3650921552711138E-3</v>
      </c>
      <c r="E77" s="589">
        <v>7.3545684739731417E-3</v>
      </c>
      <c r="F77" s="640">
        <v>7.5059711503961714E-3</v>
      </c>
      <c r="G77" s="623">
        <v>7.1867191975326572E-3</v>
      </c>
      <c r="H77" s="623">
        <v>7.4779533819796214E-3</v>
      </c>
      <c r="I77" s="589">
        <v>9.0199238704617071E-3</v>
      </c>
      <c r="J77" s="589">
        <v>8.8432672717364859E-3</v>
      </c>
      <c r="K77" s="589">
        <v>9.069714633894459E-3</v>
      </c>
      <c r="L77" s="589">
        <v>8.5687609236329548E-3</v>
      </c>
      <c r="M77" s="589">
        <v>8.9818259775888525E-3</v>
      </c>
      <c r="N77" s="589">
        <v>1.2149441053602125E-2</v>
      </c>
      <c r="O77" s="589">
        <v>1.0567323689937309E-2</v>
      </c>
      <c r="P77" s="589">
        <v>1.2592942438546671E-2</v>
      </c>
      <c r="Q77" s="589">
        <v>9.4852109317356027E-3</v>
      </c>
      <c r="R77" s="589">
        <v>1.1174858887012301E-2</v>
      </c>
      <c r="S77" s="589">
        <v>1.5168040163327361E-2</v>
      </c>
      <c r="T77" s="612">
        <v>1.4853373399144708E-2</v>
      </c>
      <c r="U77" s="646">
        <v>1.53982088891174E-2</v>
      </c>
      <c r="V77" s="623">
        <v>1.3781851072364969E-2</v>
      </c>
      <c r="W77" s="634">
        <v>1.5423446989706038E-2</v>
      </c>
      <c r="Y77" s="587" t="s">
        <v>378</v>
      </c>
      <c r="Z77" s="588">
        <v>40</v>
      </c>
      <c r="AA77" s="589">
        <v>1.5719793298847374E-3</v>
      </c>
      <c r="AB77" s="612">
        <v>1.56463446730719E-3</v>
      </c>
      <c r="AC77" s="646">
        <v>1.5992676374399666E-3</v>
      </c>
      <c r="AD77" s="623">
        <v>1.5274885193564379E-3</v>
      </c>
      <c r="AE77" s="589">
        <v>1.5912929425236774E-3</v>
      </c>
      <c r="AF77" s="589">
        <v>1.9823275751075426E-3</v>
      </c>
      <c r="AG77" s="589">
        <v>1.9378424766822336E-3</v>
      </c>
      <c r="AH77" s="589">
        <v>1.9903381088039085E-3</v>
      </c>
      <c r="AI77" s="589">
        <v>1.875889448639208E-3</v>
      </c>
      <c r="AJ77" s="589">
        <v>1.9686205079602727E-3</v>
      </c>
      <c r="AK77" s="589">
        <v>1.0283728751960644E-2</v>
      </c>
      <c r="AL77" s="589">
        <v>9.0180575534875625E-3</v>
      </c>
      <c r="AM77" s="589">
        <v>1.06534807102987E-2</v>
      </c>
      <c r="AN77" s="589">
        <v>8.1205933473298703E-3</v>
      </c>
      <c r="AO77" s="589">
        <v>9.5155670719872677E-3</v>
      </c>
      <c r="AP77" s="589">
        <v>1.2012218811202116E-2</v>
      </c>
      <c r="AQ77" s="589">
        <v>1.1849412681882446E-2</v>
      </c>
      <c r="AR77" s="585">
        <v>1.2292861918459573E-2</v>
      </c>
      <c r="AS77" s="589">
        <v>1.1169916379452664E-2</v>
      </c>
      <c r="AT77" s="590">
        <v>1.2394306654199445E-2</v>
      </c>
    </row>
    <row r="78" spans="2:46" x14ac:dyDescent="0.25">
      <c r="B78" s="587" t="s">
        <v>378</v>
      </c>
      <c r="C78" s="588">
        <v>45</v>
      </c>
      <c r="D78" s="589">
        <v>7.2382441503795565E-3</v>
      </c>
      <c r="E78" s="589">
        <v>7.1713192468503342E-3</v>
      </c>
      <c r="F78" s="640">
        <v>7.3989752118087792E-3</v>
      </c>
      <c r="G78" s="623">
        <v>6.9950409215230264E-3</v>
      </c>
      <c r="H78" s="623">
        <v>7.3159708855707129E-3</v>
      </c>
      <c r="I78" s="589">
        <v>8.8645749185245707E-3</v>
      </c>
      <c r="J78" s="589">
        <v>8.6229250587948354E-3</v>
      </c>
      <c r="K78" s="589">
        <v>8.9404278819833326E-3</v>
      </c>
      <c r="L78" s="589">
        <v>8.3402219650015198E-3</v>
      </c>
      <c r="M78" s="589">
        <v>8.7872675844239204E-3</v>
      </c>
      <c r="N78" s="589">
        <v>1.1713088385474744E-2</v>
      </c>
      <c r="O78" s="589">
        <v>1.0203625115359669E-2</v>
      </c>
      <c r="P78" s="589">
        <v>1.2244544096055682E-2</v>
      </c>
      <c r="Q78" s="589">
        <v>9.1587557386647641E-3</v>
      </c>
      <c r="R78" s="589">
        <v>1.0814936508110468E-2</v>
      </c>
      <c r="S78" s="589">
        <v>1.4891824752762474E-2</v>
      </c>
      <c r="T78" s="612">
        <v>1.4550260027137742E-2</v>
      </c>
      <c r="U78" s="646">
        <v>1.5199645322449292E-2</v>
      </c>
      <c r="V78" s="623">
        <v>1.350060429841763E-2</v>
      </c>
      <c r="W78" s="634">
        <v>1.5147741683399147E-2</v>
      </c>
      <c r="Y78" s="587" t="s">
        <v>378</v>
      </c>
      <c r="Z78" s="588">
        <v>45</v>
      </c>
      <c r="AA78" s="589">
        <v>1.5456158351163426E-3</v>
      </c>
      <c r="AB78" s="612">
        <v>1.5268060345272939E-3</v>
      </c>
      <c r="AC78" s="646">
        <v>1.5772286468070419E-3</v>
      </c>
      <c r="AD78" s="623">
        <v>1.4879294088801928E-3</v>
      </c>
      <c r="AE78" s="589">
        <v>1.5578526720253906E-3</v>
      </c>
      <c r="AF78" s="589">
        <v>1.9490821744447846E-3</v>
      </c>
      <c r="AG78" s="589">
        <v>1.8909909305870212E-3</v>
      </c>
      <c r="AH78" s="589">
        <v>1.9629099023490467E-3</v>
      </c>
      <c r="AI78" s="589">
        <v>1.8273074023589474E-3</v>
      </c>
      <c r="AJ78" s="589">
        <v>1.9272508766777616E-3</v>
      </c>
      <c r="AK78" s="589">
        <v>9.9055273195711082E-3</v>
      </c>
      <c r="AL78" s="589">
        <v>8.7060200139153828E-3</v>
      </c>
      <c r="AM78" s="589">
        <v>1.0350724841579282E-2</v>
      </c>
      <c r="AN78" s="589">
        <v>7.839609337975539E-3</v>
      </c>
      <c r="AO78" s="589">
        <v>9.2048339754445766E-3</v>
      </c>
      <c r="AP78" s="589">
        <v>1.1731524674738014E-2</v>
      </c>
      <c r="AQ78" s="589">
        <v>1.1543772668395439E-2</v>
      </c>
      <c r="AR78" s="585">
        <v>1.2077647691733296E-2</v>
      </c>
      <c r="AS78" s="589">
        <v>1.0881803066588595E-2</v>
      </c>
      <c r="AT78" s="590">
        <v>1.2109297417513085E-2</v>
      </c>
    </row>
    <row r="79" spans="2:46" x14ac:dyDescent="0.25">
      <c r="B79" s="587" t="s">
        <v>378</v>
      </c>
      <c r="C79" s="588">
        <v>50</v>
      </c>
      <c r="D79" s="589">
        <v>7.0607272166822981E-3</v>
      </c>
      <c r="E79" s="589">
        <v>7.0376431306978099E-3</v>
      </c>
      <c r="F79" s="640">
        <v>7.2216876078109197E-3</v>
      </c>
      <c r="G79" s="623">
        <v>6.8582369509886344E-3</v>
      </c>
      <c r="H79" s="623">
        <v>7.160705167964276E-3</v>
      </c>
      <c r="I79" s="589">
        <v>8.6471724483435115E-3</v>
      </c>
      <c r="J79" s="589">
        <v>8.4621904586387724E-3</v>
      </c>
      <c r="K79" s="589">
        <v>8.7262053724413667E-3</v>
      </c>
      <c r="L79" s="589">
        <v>8.1771099127989823E-3</v>
      </c>
      <c r="M79" s="589">
        <v>8.6007767647315828E-3</v>
      </c>
      <c r="N79" s="589">
        <v>1.1296760031488603E-2</v>
      </c>
      <c r="O79" s="589">
        <v>1.0567452299175316E-2</v>
      </c>
      <c r="P79" s="589">
        <v>1.1889884502327461E-2</v>
      </c>
      <c r="Q79" s="589">
        <v>9.4853263711586842E-3</v>
      </c>
      <c r="R79" s="589">
        <v>1.0888205408577271E-2</v>
      </c>
      <c r="S79" s="589">
        <v>1.4314464769749877E-2</v>
      </c>
      <c r="T79" s="612">
        <v>1.3954017934719136E-2</v>
      </c>
      <c r="U79" s="646">
        <v>1.4691124155231265E-2</v>
      </c>
      <c r="V79" s="623">
        <v>1.2947375109344083E-2</v>
      </c>
      <c r="W79" s="634">
        <v>1.4565601648707564E-2</v>
      </c>
      <c r="Y79" s="587" t="s">
        <v>378</v>
      </c>
      <c r="Z79" s="588">
        <v>50</v>
      </c>
      <c r="AA79" s="589">
        <v>1.5081490774266535E-3</v>
      </c>
      <c r="AB79" s="612">
        <v>1.4993030802338662E-3</v>
      </c>
      <c r="AC79" s="646">
        <v>1.539886534471893E-3</v>
      </c>
      <c r="AD79" s="623">
        <v>1.4594133637139601E-3</v>
      </c>
      <c r="AE79" s="589">
        <v>1.5253954117186513E-3</v>
      </c>
      <c r="AF79" s="589">
        <v>1.9018351238594636E-3</v>
      </c>
      <c r="AG79" s="589">
        <v>1.8569277713139291E-3</v>
      </c>
      <c r="AH79" s="589">
        <v>1.9164364869531988E-3</v>
      </c>
      <c r="AI79" s="589">
        <v>1.792287205764087E-3</v>
      </c>
      <c r="AJ79" s="589">
        <v>1.8870973470764062E-3</v>
      </c>
      <c r="AK79" s="589">
        <v>9.5491769648208807E-3</v>
      </c>
      <c r="AL79" s="589">
        <v>8.9888736283460346E-3</v>
      </c>
      <c r="AM79" s="589">
        <v>1.0047278098971116E-2</v>
      </c>
      <c r="AN79" s="589">
        <v>8.0943133214343051E-3</v>
      </c>
      <c r="AO79" s="589">
        <v>9.2500375176233322E-3</v>
      </c>
      <c r="AP79" s="589">
        <v>1.1172014508597982E-2</v>
      </c>
      <c r="AQ79" s="589">
        <v>1.0963338664538842E-2</v>
      </c>
      <c r="AR79" s="585">
        <v>1.1576529040204772E-2</v>
      </c>
      <c r="AS79" s="589">
        <v>1.0334653658380313E-2</v>
      </c>
      <c r="AT79" s="590">
        <v>1.1536575512222641E-2</v>
      </c>
    </row>
    <row r="80" spans="2:46" x14ac:dyDescent="0.25">
      <c r="B80" s="587" t="s">
        <v>378</v>
      </c>
      <c r="C80" s="588">
        <v>55</v>
      </c>
      <c r="D80" s="589">
        <v>6.9005984987729248E-3</v>
      </c>
      <c r="E80" s="589">
        <v>6.9798212215515026E-3</v>
      </c>
      <c r="F80" s="640">
        <v>7.0706558360207035E-3</v>
      </c>
      <c r="G80" s="623">
        <v>6.7929638453393193E-3</v>
      </c>
      <c r="H80" s="623">
        <v>7.0603321882313358E-3</v>
      </c>
      <c r="I80" s="589">
        <v>8.4510650793429096E-3</v>
      </c>
      <c r="J80" s="589">
        <v>8.3926643404780132E-3</v>
      </c>
      <c r="K80" s="589">
        <v>8.5437086583797315E-3</v>
      </c>
      <c r="L80" s="589">
        <v>8.099284465375901E-3</v>
      </c>
      <c r="M80" s="589">
        <v>8.4802180248247719E-3</v>
      </c>
      <c r="N80" s="589">
        <v>1.0948873242921431E-2</v>
      </c>
      <c r="O80" s="589">
        <v>1.0865149120508922E-2</v>
      </c>
      <c r="P80" s="589">
        <v>1.1574473083053871E-2</v>
      </c>
      <c r="Q80" s="589">
        <v>9.7525385080165037E-3</v>
      </c>
      <c r="R80" s="589">
        <v>1.0939795148239317E-2</v>
      </c>
      <c r="S80" s="589">
        <v>1.3676351389937556E-2</v>
      </c>
      <c r="T80" s="612">
        <v>1.3305860245920002E-2</v>
      </c>
      <c r="U80" s="646">
        <v>1.4101973211008607E-2</v>
      </c>
      <c r="V80" s="623">
        <v>1.2345975518223858E-2</v>
      </c>
      <c r="W80" s="634">
        <v>1.3920503077426391E-2</v>
      </c>
      <c r="Y80" s="587" t="s">
        <v>378</v>
      </c>
      <c r="Z80" s="588">
        <v>55</v>
      </c>
      <c r="AA80" s="589">
        <v>1.4743123595057366E-3</v>
      </c>
      <c r="AB80" s="612">
        <v>1.4878196194340969E-3</v>
      </c>
      <c r="AC80" s="646">
        <v>1.5081389929790362E-3</v>
      </c>
      <c r="AD80" s="623">
        <v>1.4461169707571438E-3</v>
      </c>
      <c r="AE80" s="589">
        <v>1.5045988859811136E-3</v>
      </c>
      <c r="AF80" s="589">
        <v>1.85916569576292E-3</v>
      </c>
      <c r="AG80" s="589">
        <v>1.8427051918028137E-3</v>
      </c>
      <c r="AH80" s="589">
        <v>1.8769256882508537E-3</v>
      </c>
      <c r="AI80" s="589">
        <v>1.7759580727221174E-3</v>
      </c>
      <c r="AJ80" s="589">
        <v>1.8613695467656025E-3</v>
      </c>
      <c r="AK80" s="589">
        <v>9.2514454598403434E-3</v>
      </c>
      <c r="AL80" s="589">
        <v>9.2203068086754662E-3</v>
      </c>
      <c r="AM80" s="589">
        <v>9.7775679821854224E-3</v>
      </c>
      <c r="AN80" s="589">
        <v>8.3027150455381657E-3</v>
      </c>
      <c r="AO80" s="589">
        <v>9.2798889488570156E-3</v>
      </c>
      <c r="AP80" s="589">
        <v>1.061056981198347E-2</v>
      </c>
      <c r="AQ80" s="589">
        <v>1.0388617647948345E-2</v>
      </c>
      <c r="AR80" s="585">
        <v>1.1054398571534492E-2</v>
      </c>
      <c r="AS80" s="589">
        <v>9.7928896174644519E-3</v>
      </c>
      <c r="AT80" s="590">
        <v>1.0960654899641117E-2</v>
      </c>
    </row>
    <row r="81" spans="2:46" x14ac:dyDescent="0.25">
      <c r="B81" s="587" t="s">
        <v>378</v>
      </c>
      <c r="C81" s="588">
        <v>60</v>
      </c>
      <c r="D81" s="589">
        <v>6.8240766461204593E-3</v>
      </c>
      <c r="E81" s="589">
        <v>6.9316379137769248E-3</v>
      </c>
      <c r="F81" s="640">
        <v>7.0023875556121185E-3</v>
      </c>
      <c r="G81" s="623">
        <v>6.7941978180676346E-3</v>
      </c>
      <c r="H81" s="623">
        <v>7.0247184442168171E-3</v>
      </c>
      <c r="I81" s="589">
        <v>8.3573498520517035E-3</v>
      </c>
      <c r="J81" s="589">
        <v>8.3347278524033078E-3</v>
      </c>
      <c r="K81" s="589">
        <v>8.4612178241563838E-3</v>
      </c>
      <c r="L81" s="589">
        <v>8.1007557371766473E-3</v>
      </c>
      <c r="M81" s="589">
        <v>8.4374420893770282E-3</v>
      </c>
      <c r="N81" s="589">
        <v>1.0753893938436215E-2</v>
      </c>
      <c r="O81" s="589">
        <v>1.0709937351033259E-2</v>
      </c>
      <c r="P81" s="589">
        <v>1.1390104037016575E-2</v>
      </c>
      <c r="Q81" s="589">
        <v>9.6132207000490522E-3</v>
      </c>
      <c r="R81" s="589">
        <v>1.0774482409099617E-2</v>
      </c>
      <c r="S81" s="589">
        <v>1.3570063359582824E-2</v>
      </c>
      <c r="T81" s="612">
        <v>1.3200235964811246E-2</v>
      </c>
      <c r="U81" s="646">
        <v>1.3997870617237798E-2</v>
      </c>
      <c r="V81" s="623">
        <v>1.2247970969185144E-2</v>
      </c>
      <c r="W81" s="634">
        <v>1.3812647903009527E-2</v>
      </c>
      <c r="Y81" s="587" t="s">
        <v>378</v>
      </c>
      <c r="Z81" s="588">
        <v>60</v>
      </c>
      <c r="AA81" s="589">
        <v>1.4584213942658117E-3</v>
      </c>
      <c r="AB81" s="612">
        <v>1.4782485229663464E-3</v>
      </c>
      <c r="AC81" s="646">
        <v>1.4941338997285327E-3</v>
      </c>
      <c r="AD81" s="623">
        <v>1.4469969125929282E-3</v>
      </c>
      <c r="AE81" s="589">
        <v>1.4976216611445675E-3</v>
      </c>
      <c r="AF81" s="589">
        <v>1.8391265654821875E-3</v>
      </c>
      <c r="AG81" s="589">
        <v>1.8308511276931617E-3</v>
      </c>
      <c r="AH81" s="589">
        <v>1.8594959159217827E-3</v>
      </c>
      <c r="AI81" s="589">
        <v>1.7770387182289391E-3</v>
      </c>
      <c r="AJ81" s="589">
        <v>1.8527378815738431E-3</v>
      </c>
      <c r="AK81" s="589">
        <v>9.0988557202231583E-3</v>
      </c>
      <c r="AL81" s="589">
        <v>9.1000011021366428E-3</v>
      </c>
      <c r="AM81" s="589">
        <v>9.6335863813335199E-3</v>
      </c>
      <c r="AN81" s="589">
        <v>8.1943819910671213E-3</v>
      </c>
      <c r="AO81" s="589">
        <v>9.1510989725690165E-3</v>
      </c>
      <c r="AP81" s="589">
        <v>1.0735536015498834E-2</v>
      </c>
      <c r="AQ81" s="589">
        <v>1.0516914429859209E-2</v>
      </c>
      <c r="AR81" s="585">
        <v>1.1169663970116371E-2</v>
      </c>
      <c r="AS81" s="589">
        <v>9.9138293099605129E-3</v>
      </c>
      <c r="AT81" s="590">
        <v>1.1088779951966098E-2</v>
      </c>
    </row>
    <row r="82" spans="2:46" x14ac:dyDescent="0.25">
      <c r="B82" s="587" t="s">
        <v>378</v>
      </c>
      <c r="C82" s="588">
        <v>65</v>
      </c>
      <c r="D82" s="589">
        <v>6.9485787345855039E-3</v>
      </c>
      <c r="E82" s="589">
        <v>6.9766027576862698E-3</v>
      </c>
      <c r="F82" s="640">
        <v>7.0912415325146225E-3</v>
      </c>
      <c r="G82" s="623">
        <v>6.8692543896557391E-3</v>
      </c>
      <c r="H82" s="623">
        <v>7.1046882404907866E-3</v>
      </c>
      <c r="I82" s="589">
        <v>8.5098257934239328E-3</v>
      </c>
      <c r="J82" s="589">
        <v>8.3887944008254819E-3</v>
      </c>
      <c r="K82" s="589">
        <v>8.5685830402550123E-3</v>
      </c>
      <c r="L82" s="589">
        <v>8.1902460595349794E-3</v>
      </c>
      <c r="M82" s="589">
        <v>8.5334944123731746E-3</v>
      </c>
      <c r="N82" s="589">
        <v>1.1536115372601956E-2</v>
      </c>
      <c r="O82" s="589">
        <v>1.1530761273631914E-2</v>
      </c>
      <c r="P82" s="589">
        <v>1.2117200148053854E-2</v>
      </c>
      <c r="Q82" s="589">
        <v>1.0349990791711595E-2</v>
      </c>
      <c r="R82" s="589">
        <v>1.1551875420970078E-2</v>
      </c>
      <c r="S82" s="589">
        <v>1.4516602995301343E-2</v>
      </c>
      <c r="T82" s="612">
        <v>1.4159854466579634E-2</v>
      </c>
      <c r="U82" s="646">
        <v>1.4876430586040124E-2</v>
      </c>
      <c r="V82" s="623">
        <v>1.3138362594212548E-2</v>
      </c>
      <c r="W82" s="634">
        <v>1.4769862722522847E-2</v>
      </c>
      <c r="Y82" s="587" t="s">
        <v>378</v>
      </c>
      <c r="Z82" s="588">
        <v>65</v>
      </c>
      <c r="AA82" s="589">
        <v>1.4858144604874182E-3</v>
      </c>
      <c r="AB82" s="612">
        <v>1.488434331178525E-3</v>
      </c>
      <c r="AC82" s="646">
        <v>1.5139336274635797E-3</v>
      </c>
      <c r="AD82" s="623">
        <v>1.4635182782132198E-3</v>
      </c>
      <c r="AE82" s="589">
        <v>1.5153444161169645E-3</v>
      </c>
      <c r="AF82" s="589">
        <v>1.8736702961187853E-3</v>
      </c>
      <c r="AG82" s="589">
        <v>1.8434665290698613E-3</v>
      </c>
      <c r="AH82" s="589">
        <v>1.884137290343695E-3</v>
      </c>
      <c r="AI82" s="589">
        <v>1.7973283996579514E-3</v>
      </c>
      <c r="AJ82" s="589">
        <v>1.8746630582423725E-3</v>
      </c>
      <c r="AK82" s="589">
        <v>9.7556645727516177E-3</v>
      </c>
      <c r="AL82" s="589">
        <v>9.7919380773996006E-3</v>
      </c>
      <c r="AM82" s="589">
        <v>1.0244340105979138E-2</v>
      </c>
      <c r="AN82" s="589">
        <v>8.8174583869278771E-3</v>
      </c>
      <c r="AO82" s="589">
        <v>9.8063774888389032E-3</v>
      </c>
      <c r="AP82" s="589">
        <v>1.1366145882681328E-2</v>
      </c>
      <c r="AQ82" s="589">
        <v>1.1162491124321756E-2</v>
      </c>
      <c r="AR82" s="585">
        <v>1.1756004250891178E-2</v>
      </c>
      <c r="AS82" s="589">
        <v>1.0522385859331799E-2</v>
      </c>
      <c r="AT82" s="590">
        <v>1.1735648308018093E-2</v>
      </c>
    </row>
    <row r="83" spans="2:46" x14ac:dyDescent="0.25">
      <c r="B83" s="587" t="s">
        <v>378</v>
      </c>
      <c r="C83" s="588">
        <v>70</v>
      </c>
      <c r="D83" s="589">
        <v>7.2363685736316378E-3</v>
      </c>
      <c r="E83" s="589">
        <v>7.2326022914586873E-3</v>
      </c>
      <c r="F83" s="640">
        <v>7.3303479476598942E-3</v>
      </c>
      <c r="G83" s="623">
        <v>7.1213147067805387E-3</v>
      </c>
      <c r="H83" s="623">
        <v>7.3614695681667721E-3</v>
      </c>
      <c r="I83" s="589">
        <v>8.8622779262911029E-3</v>
      </c>
      <c r="J83" s="589">
        <v>8.696612909362177E-3</v>
      </c>
      <c r="K83" s="589">
        <v>8.8575032757646655E-3</v>
      </c>
      <c r="L83" s="589">
        <v>8.490778825100527E-3</v>
      </c>
      <c r="M83" s="589">
        <v>8.8419163938524663E-3</v>
      </c>
      <c r="N83" s="589">
        <v>1.2281715008207668E-2</v>
      </c>
      <c r="O83" s="589">
        <v>1.2313802546189721E-2</v>
      </c>
      <c r="P83" s="589">
        <v>1.2808586673417312E-2</v>
      </c>
      <c r="Q83" s="589">
        <v>1.105284724395959E-2</v>
      </c>
      <c r="R83" s="589">
        <v>1.2292743919394427E-2</v>
      </c>
      <c r="S83" s="589">
        <v>1.5332952075349517E-2</v>
      </c>
      <c r="T83" s="612">
        <v>1.4988063441047724E-2</v>
      </c>
      <c r="U83" s="646">
        <v>1.5633017007826013E-2</v>
      </c>
      <c r="V83" s="623">
        <v>1.3906824574966097E-2</v>
      </c>
      <c r="W83" s="634">
        <v>1.5595427717340019E-2</v>
      </c>
      <c r="Y83" s="587" t="s">
        <v>378</v>
      </c>
      <c r="Z83" s="588">
        <v>70</v>
      </c>
      <c r="AA83" s="589">
        <v>1.547898697567077E-3</v>
      </c>
      <c r="AB83" s="612">
        <v>1.5435377934108442E-3</v>
      </c>
      <c r="AC83" s="646">
        <v>1.5656331921989834E-3</v>
      </c>
      <c r="AD83" s="623">
        <v>1.5176993249276273E-3</v>
      </c>
      <c r="AE83" s="589">
        <v>1.5706631875463241E-3</v>
      </c>
      <c r="AF83" s="589">
        <v>1.9519609535102831E-3</v>
      </c>
      <c r="AG83" s="589">
        <v>1.9117136704675708E-3</v>
      </c>
      <c r="AH83" s="589">
        <v>1.9484789999440755E-3</v>
      </c>
      <c r="AI83" s="589">
        <v>1.863867462020663E-3</v>
      </c>
      <c r="AJ83" s="589">
        <v>1.9430990231114769E-3</v>
      </c>
      <c r="AK83" s="589">
        <v>1.0380911502292799E-2</v>
      </c>
      <c r="AL83" s="589">
        <v>1.0451113560773981E-2</v>
      </c>
      <c r="AM83" s="589">
        <v>1.0824445581272709E-2</v>
      </c>
      <c r="AN83" s="589">
        <v>9.4110336677756742E-3</v>
      </c>
      <c r="AO83" s="589">
        <v>1.0430056769900036E-2</v>
      </c>
      <c r="AP83" s="589">
        <v>1.1910747510767769E-2</v>
      </c>
      <c r="AQ83" s="589">
        <v>1.1720360447616391E-2</v>
      </c>
      <c r="AR83" s="585">
        <v>1.2261502310130718E-2</v>
      </c>
      <c r="AS83" s="589">
        <v>1.104826455553492E-2</v>
      </c>
      <c r="AT83" s="590">
        <v>1.2294231458300053E-2</v>
      </c>
    </row>
    <row r="84" spans="2:46" ht="15.75" thickBot="1" x14ac:dyDescent="0.3">
      <c r="B84" s="591" t="s">
        <v>378</v>
      </c>
      <c r="C84" s="592">
        <v>75</v>
      </c>
      <c r="D84" s="593">
        <v>7.6339886669040229E-3</v>
      </c>
      <c r="E84" s="593">
        <v>7.6435039884625855E-3</v>
      </c>
      <c r="F84" s="641">
        <v>7.6772012137353495E-3</v>
      </c>
      <c r="G84" s="624">
        <v>7.5258940473431936E-3</v>
      </c>
      <c r="H84" s="624">
        <v>7.7565748325250225E-3</v>
      </c>
      <c r="I84" s="593">
        <v>9.3492376132946076E-3</v>
      </c>
      <c r="J84" s="593">
        <v>9.1906886042006711E-3</v>
      </c>
      <c r="K84" s="593">
        <v>9.2766176155490102E-3</v>
      </c>
      <c r="L84" s="593">
        <v>8.9731607783445997E-3</v>
      </c>
      <c r="M84" s="593">
        <v>9.3164802946982331E-3</v>
      </c>
      <c r="N84" s="593">
        <v>1.3174311023485851E-2</v>
      </c>
      <c r="O84" s="593">
        <v>1.3251525562256335E-2</v>
      </c>
      <c r="P84" s="593">
        <v>1.363558843070458E-2</v>
      </c>
      <c r="Q84" s="593">
        <v>1.1894545753810755E-2</v>
      </c>
      <c r="R84" s="593">
        <v>1.3179643562342327E-2</v>
      </c>
      <c r="S84" s="593">
        <v>1.6396027497422763E-2</v>
      </c>
      <c r="T84" s="613">
        <v>1.6064776198993685E-2</v>
      </c>
      <c r="U84" s="647">
        <v>1.6622309810510171E-2</v>
      </c>
      <c r="V84" s="623">
        <v>1.4905863276758096E-2</v>
      </c>
      <c r="W84" s="635">
        <v>1.6670636534726418E-2</v>
      </c>
      <c r="Y84" s="591" t="s">
        <v>378</v>
      </c>
      <c r="Z84" s="592">
        <v>75</v>
      </c>
      <c r="AA84" s="593">
        <v>1.6334764722361335E-3</v>
      </c>
      <c r="AB84" s="613">
        <v>1.63179131268487E-3</v>
      </c>
      <c r="AC84" s="647">
        <v>1.6402976251069542E-3</v>
      </c>
      <c r="AD84" s="624">
        <v>1.6044749443506457E-3</v>
      </c>
      <c r="AE84" s="593">
        <v>1.6555364078898944E-3</v>
      </c>
      <c r="AF84" s="593">
        <v>2.0598778830256659E-3</v>
      </c>
      <c r="AG84" s="593">
        <v>2.0210180619656291E-3</v>
      </c>
      <c r="AH84" s="593">
        <v>2.0414011992745461E-3</v>
      </c>
      <c r="AI84" s="593">
        <v>1.9704355093820634E-3</v>
      </c>
      <c r="AJ84" s="593">
        <v>2.0480973912183581E-3</v>
      </c>
      <c r="AK84" s="593">
        <v>1.1147362857814478E-2</v>
      </c>
      <c r="AL84" s="593">
        <v>1.1259395629024154E-2</v>
      </c>
      <c r="AM84" s="593">
        <v>1.1535093467979171E-2</v>
      </c>
      <c r="AN84" s="593">
        <v>1.0138876659159109E-2</v>
      </c>
      <c r="AO84" s="593">
        <v>1.1194584768513522E-2</v>
      </c>
      <c r="AP84" s="593">
        <v>1.2671593237243596E-2</v>
      </c>
      <c r="AQ84" s="593">
        <v>1.249804748823747E-2</v>
      </c>
      <c r="AR84" s="586">
        <v>1.2972122336773157E-2</v>
      </c>
      <c r="AS84" s="593">
        <v>1.1781355660806925E-2</v>
      </c>
      <c r="AT84" s="594">
        <v>1.3074932408407127E-2</v>
      </c>
    </row>
    <row r="85" spans="2:46" x14ac:dyDescent="0.25">
      <c r="B85" s="708" t="s">
        <v>37</v>
      </c>
      <c r="C85" s="709">
        <v>2.5</v>
      </c>
      <c r="D85" s="710">
        <v>22.66214183620718</v>
      </c>
      <c r="E85" s="710">
        <v>19.620379107998549</v>
      </c>
      <c r="F85" s="636">
        <v>27.139476495945402</v>
      </c>
      <c r="G85" s="717">
        <v>18.852177666672119</v>
      </c>
      <c r="H85" s="717">
        <v>21.741594293168262</v>
      </c>
      <c r="I85" s="710">
        <v>37.564976335144308</v>
      </c>
      <c r="J85" s="710">
        <v>31.808256695299914</v>
      </c>
      <c r="K85" s="710">
        <v>44.084688609995858</v>
      </c>
      <c r="L85" s="710">
        <v>30.182345661071309</v>
      </c>
      <c r="M85" s="710">
        <v>35.140573683349182</v>
      </c>
      <c r="N85" s="710">
        <v>26.667903069107023</v>
      </c>
      <c r="O85" s="710">
        <v>20.932708694661557</v>
      </c>
      <c r="P85" s="710">
        <v>27.016895389308399</v>
      </c>
      <c r="Q85" s="710">
        <v>17.95605273430585</v>
      </c>
      <c r="R85" s="710">
        <v>21.793110703565858</v>
      </c>
      <c r="S85" s="710">
        <v>14.335774293804587</v>
      </c>
      <c r="T85" s="718">
        <v>14.23626470192251</v>
      </c>
      <c r="U85" s="642">
        <v>15.241535855499178</v>
      </c>
      <c r="V85" s="667">
        <v>13.468208595345617</v>
      </c>
      <c r="W85" s="722">
        <v>14.462270829525099</v>
      </c>
      <c r="Y85" s="577" t="s">
        <v>37</v>
      </c>
      <c r="Z85" s="689">
        <v>2.5</v>
      </c>
      <c r="AA85" s="690">
        <v>12.594826532326056</v>
      </c>
      <c r="AB85" s="692">
        <v>9.9172527012742542</v>
      </c>
      <c r="AC85" s="642">
        <v>15.273596197772809</v>
      </c>
      <c r="AD85" s="691">
        <v>9.5363976378168669</v>
      </c>
      <c r="AE85" s="690">
        <v>11.493912270100475</v>
      </c>
      <c r="AF85" s="690">
        <v>18.667676446879412</v>
      </c>
      <c r="AG85" s="690">
        <v>14.068443594303949</v>
      </c>
      <c r="AH85" s="690">
        <v>21.958425432347859</v>
      </c>
      <c r="AI85" s="690">
        <v>13.359684551131508</v>
      </c>
      <c r="AJ85" s="690">
        <v>16.358623225706069</v>
      </c>
      <c r="AK85" s="690">
        <v>8.3289919737091545</v>
      </c>
      <c r="AL85" s="690">
        <v>7.3181664839874427</v>
      </c>
      <c r="AM85" s="690">
        <v>8.8751308755031424</v>
      </c>
      <c r="AN85" s="690">
        <v>6.2283291849042612</v>
      </c>
      <c r="AO85" s="690">
        <v>7.3838273933249425</v>
      </c>
      <c r="AP85" s="690">
        <v>3.6779827116690194</v>
      </c>
      <c r="AQ85" s="690">
        <v>3.9010659492538866</v>
      </c>
      <c r="AR85" s="652">
        <v>4.0807621752633922</v>
      </c>
      <c r="AS85" s="690">
        <v>3.6661409446767266</v>
      </c>
      <c r="AT85" s="696">
        <v>3.9094584356567417</v>
      </c>
    </row>
    <row r="86" spans="2:46" x14ac:dyDescent="0.25">
      <c r="B86" s="711" t="s">
        <v>37</v>
      </c>
      <c r="C86" s="712">
        <v>5</v>
      </c>
      <c r="D86" s="713">
        <v>13.07341471771162</v>
      </c>
      <c r="E86" s="713">
        <v>11.779198618614373</v>
      </c>
      <c r="F86" s="637">
        <v>15.656315012829467</v>
      </c>
      <c r="G86" s="667">
        <v>11.318004810549727</v>
      </c>
      <c r="H86" s="667">
        <v>13.05268140105199</v>
      </c>
      <c r="I86" s="713">
        <v>21.670613397438565</v>
      </c>
      <c r="J86" s="713">
        <v>19.096255544474456</v>
      </c>
      <c r="K86" s="713">
        <v>25.431727550960893</v>
      </c>
      <c r="L86" s="713">
        <v>18.120131235002383</v>
      </c>
      <c r="M86" s="713">
        <v>21.096829715154648</v>
      </c>
      <c r="N86" s="713">
        <v>13.333951688240399</v>
      </c>
      <c r="O86" s="713">
        <v>10.466354347330778</v>
      </c>
      <c r="P86" s="713">
        <v>13.508447850352326</v>
      </c>
      <c r="Q86" s="713">
        <v>8.9780263671529248</v>
      </c>
      <c r="R86" s="713">
        <v>10.896555351782929</v>
      </c>
      <c r="S86" s="713">
        <v>7.1678872295192342</v>
      </c>
      <c r="T86" s="719">
        <v>7.1181323509612549</v>
      </c>
      <c r="U86" s="643">
        <v>7.6207680155864246</v>
      </c>
      <c r="V86" s="667">
        <v>6.7341042976728085</v>
      </c>
      <c r="W86" s="723">
        <v>7.2311354147625497</v>
      </c>
      <c r="Y86" s="578" t="s">
        <v>37</v>
      </c>
      <c r="Z86" s="697">
        <v>5</v>
      </c>
      <c r="AA86" s="698">
        <v>7.2657470659575552</v>
      </c>
      <c r="AB86" s="699">
        <v>5.9538752373891182</v>
      </c>
      <c r="AC86" s="643">
        <v>8.8110849701471157</v>
      </c>
      <c r="AD86" s="693">
        <v>5.7252268808677753</v>
      </c>
      <c r="AE86" s="698">
        <v>6.9004311684909734</v>
      </c>
      <c r="AF86" s="698">
        <v>10.769073716421369</v>
      </c>
      <c r="AG86" s="698">
        <v>8.446064698338219</v>
      </c>
      <c r="AH86" s="698">
        <v>12.667452366147355</v>
      </c>
      <c r="AI86" s="698">
        <v>8.0205574491503686</v>
      </c>
      <c r="AJ86" s="698">
        <v>9.820986181868232</v>
      </c>
      <c r="AK86" s="698">
        <v>4.1644960348544835</v>
      </c>
      <c r="AL86" s="698">
        <v>3.6590832419937214</v>
      </c>
      <c r="AM86" s="698">
        <v>4.4375654888988709</v>
      </c>
      <c r="AN86" s="698">
        <v>3.1141645924521306</v>
      </c>
      <c r="AO86" s="698">
        <v>3.6919136966624713</v>
      </c>
      <c r="AP86" s="698">
        <v>1.8389913770306916</v>
      </c>
      <c r="AQ86" s="698">
        <v>1.9505329746269433</v>
      </c>
      <c r="AR86" s="653">
        <v>2.0403811111490922</v>
      </c>
      <c r="AS86" s="698">
        <v>1.8330704723383633</v>
      </c>
      <c r="AT86" s="701">
        <v>1.9547292178283708</v>
      </c>
    </row>
    <row r="87" spans="2:46" x14ac:dyDescent="0.25">
      <c r="B87" s="711" t="s">
        <v>37</v>
      </c>
      <c r="C87" s="712">
        <v>10</v>
      </c>
      <c r="D87" s="713">
        <v>8.2414227193503571</v>
      </c>
      <c r="E87" s="713">
        <v>7.8915458108089025</v>
      </c>
      <c r="F87" s="637">
        <v>9.8696716224591992</v>
      </c>
      <c r="G87" s="667">
        <v>7.5825662119546902</v>
      </c>
      <c r="H87" s="667">
        <v>8.7447233521911727</v>
      </c>
      <c r="I87" s="713">
        <v>13.661058679179581</v>
      </c>
      <c r="J87" s="713">
        <v>12.793652634907426</v>
      </c>
      <c r="K87" s="713">
        <v>16.032048378826687</v>
      </c>
      <c r="L87" s="713">
        <v>12.139692212415692</v>
      </c>
      <c r="M87" s="713">
        <v>14.133949477418847</v>
      </c>
      <c r="N87" s="713">
        <v>7.7822361294105997</v>
      </c>
      <c r="O87" s="713">
        <v>6.1085294677246296</v>
      </c>
      <c r="P87" s="713">
        <v>7.8840791815665909</v>
      </c>
      <c r="Q87" s="713">
        <v>5.2398893450180939</v>
      </c>
      <c r="R87" s="713">
        <v>6.3596097795058659</v>
      </c>
      <c r="S87" s="713">
        <v>4.1834703074784176</v>
      </c>
      <c r="T87" s="719">
        <v>4.1543903233220663</v>
      </c>
      <c r="U87" s="643">
        <v>4.4477899404013614</v>
      </c>
      <c r="V87" s="667">
        <v>3.9302581563709582</v>
      </c>
      <c r="W87" s="723">
        <v>4.2203428529485283</v>
      </c>
      <c r="Y87" s="578" t="s">
        <v>37</v>
      </c>
      <c r="Z87" s="697">
        <v>10</v>
      </c>
      <c r="AA87" s="698">
        <v>4.5802947611928309</v>
      </c>
      <c r="AB87" s="699">
        <v>3.9888349546502506</v>
      </c>
      <c r="AC87" s="643">
        <v>5.5544689297370997</v>
      </c>
      <c r="AD87" s="693">
        <v>3.8356505964883203</v>
      </c>
      <c r="AE87" s="698">
        <v>4.6229858620794575</v>
      </c>
      <c r="AF87" s="698">
        <v>6.7887763609788667</v>
      </c>
      <c r="AG87" s="698">
        <v>5.6584924531846035</v>
      </c>
      <c r="AH87" s="698">
        <v>7.9855058514451462</v>
      </c>
      <c r="AI87" s="698">
        <v>5.3734212816627318</v>
      </c>
      <c r="AJ87" s="698">
        <v>6.5796294697891149</v>
      </c>
      <c r="AK87" s="698">
        <v>2.430569141165726</v>
      </c>
      <c r="AL87" s="698">
        <v>2.1355686103133249</v>
      </c>
      <c r="AM87" s="698">
        <v>2.5899435727512876</v>
      </c>
      <c r="AN87" s="698">
        <v>1.8175350794605871</v>
      </c>
      <c r="AO87" s="698">
        <v>2.1547296087973868</v>
      </c>
      <c r="AP87" s="698">
        <v>1.0733101087072705</v>
      </c>
      <c r="AQ87" s="698">
        <v>1.1383990793619463</v>
      </c>
      <c r="AR87" s="653">
        <v>1.1908493425062672</v>
      </c>
      <c r="AS87" s="698">
        <v>1.0698438658873088</v>
      </c>
      <c r="AT87" s="701">
        <v>1.1408481532609394</v>
      </c>
    </row>
    <row r="88" spans="2:46" x14ac:dyDescent="0.25">
      <c r="B88" s="711" t="s">
        <v>37</v>
      </c>
      <c r="C88" s="712">
        <v>15</v>
      </c>
      <c r="D88" s="713">
        <v>6.6676848464734073</v>
      </c>
      <c r="E88" s="713">
        <v>6.6249449604024706</v>
      </c>
      <c r="F88" s="637">
        <v>7.9850120734890826</v>
      </c>
      <c r="G88" s="667">
        <v>6.3655568905147328</v>
      </c>
      <c r="H88" s="667">
        <v>7.3411866687591854</v>
      </c>
      <c r="I88" s="713">
        <v>11.052416196063032</v>
      </c>
      <c r="J88" s="713">
        <v>10.740258826436682</v>
      </c>
      <c r="K88" s="713">
        <v>12.970654421407662</v>
      </c>
      <c r="L88" s="713">
        <v>10.191259693800944</v>
      </c>
      <c r="M88" s="713">
        <v>11.865436709846731</v>
      </c>
      <c r="N88" s="713">
        <v>6.2562100240313603</v>
      </c>
      <c r="O88" s="713">
        <v>4.9107446648768294</v>
      </c>
      <c r="P88" s="713">
        <v>6.3380825749513123</v>
      </c>
      <c r="Q88" s="713">
        <v>4.2124309592923002</v>
      </c>
      <c r="R88" s="713">
        <v>5.1125921484733343</v>
      </c>
      <c r="S88" s="713">
        <v>3.3631296246553575</v>
      </c>
      <c r="T88" s="719">
        <v>3.3397809118974422</v>
      </c>
      <c r="U88" s="643">
        <v>3.5756185686481241</v>
      </c>
      <c r="V88" s="667">
        <v>3.1595974734941534</v>
      </c>
      <c r="W88" s="723">
        <v>3.3928012066687989</v>
      </c>
      <c r="Y88" s="578" t="s">
        <v>37</v>
      </c>
      <c r="Z88" s="697">
        <v>15</v>
      </c>
      <c r="AA88" s="698">
        <v>3.7056662437519448</v>
      </c>
      <c r="AB88" s="699">
        <v>3.348623028265572</v>
      </c>
      <c r="AC88" s="643">
        <v>4.4938173388507856</v>
      </c>
      <c r="AD88" s="693">
        <v>3.2200249099821598</v>
      </c>
      <c r="AE88" s="698">
        <v>3.880992092454929</v>
      </c>
      <c r="AF88" s="698">
        <v>5.4924280442398894</v>
      </c>
      <c r="AG88" s="698">
        <v>4.7502988590467581</v>
      </c>
      <c r="AH88" s="698">
        <v>6.4606364908439797</v>
      </c>
      <c r="AI88" s="698">
        <v>4.5109818904316743</v>
      </c>
      <c r="AJ88" s="698">
        <v>5.5235924801312075</v>
      </c>
      <c r="AK88" s="698">
        <v>1.9539565199769866</v>
      </c>
      <c r="AL88" s="698">
        <v>1.7168178061488477</v>
      </c>
      <c r="AM88" s="698">
        <v>2.0820790672602452</v>
      </c>
      <c r="AN88" s="698">
        <v>1.4611455575104573</v>
      </c>
      <c r="AO88" s="698">
        <v>1.732221639686278</v>
      </c>
      <c r="AP88" s="698">
        <v>0.86284370575853697</v>
      </c>
      <c r="AQ88" s="698">
        <v>0.91517725092676683</v>
      </c>
      <c r="AR88" s="653">
        <v>0.95733455909196574</v>
      </c>
      <c r="AS88" s="698">
        <v>0.86006461692887104</v>
      </c>
      <c r="AT88" s="701">
        <v>0.9171461006551529</v>
      </c>
    </row>
    <row r="89" spans="2:46" x14ac:dyDescent="0.25">
      <c r="B89" s="711" t="s">
        <v>37</v>
      </c>
      <c r="C89" s="712">
        <v>20</v>
      </c>
      <c r="D89" s="713">
        <v>5.7867794022407768</v>
      </c>
      <c r="E89" s="713">
        <v>5.8344894950124484</v>
      </c>
      <c r="F89" s="637">
        <v>6.9300671008693602</v>
      </c>
      <c r="G89" s="667">
        <v>5.6060503188476369</v>
      </c>
      <c r="H89" s="667">
        <v>6.4652728069153369</v>
      </c>
      <c r="I89" s="713">
        <v>9.592219167676733</v>
      </c>
      <c r="J89" s="713">
        <v>9.4587845893217306</v>
      </c>
      <c r="K89" s="713">
        <v>11.257028124099788</v>
      </c>
      <c r="L89" s="713">
        <v>8.9752893012432065</v>
      </c>
      <c r="M89" s="713">
        <v>10.449711846833232</v>
      </c>
      <c r="N89" s="713">
        <v>5.1414814569478899</v>
      </c>
      <c r="O89" s="713">
        <v>4.0357614837986278</v>
      </c>
      <c r="P89" s="713">
        <v>5.2087659951540903</v>
      </c>
      <c r="Q89" s="713">
        <v>3.4618714225287812</v>
      </c>
      <c r="R89" s="713">
        <v>4.2016443295769434</v>
      </c>
      <c r="S89" s="713">
        <v>2.7638887658914308</v>
      </c>
      <c r="T89" s="719">
        <v>2.7447077965515891</v>
      </c>
      <c r="U89" s="643">
        <v>2.9385165295292732</v>
      </c>
      <c r="V89" s="667">
        <v>2.5966289550823118</v>
      </c>
      <c r="W89" s="723">
        <v>2.7882810788336685</v>
      </c>
      <c r="Y89" s="578" t="s">
        <v>37</v>
      </c>
      <c r="Z89" s="697">
        <v>20</v>
      </c>
      <c r="AA89" s="698">
        <v>3.2160897799878079</v>
      </c>
      <c r="AB89" s="699">
        <v>2.9490819920691589</v>
      </c>
      <c r="AC89" s="643">
        <v>3.9001137895184561</v>
      </c>
      <c r="AD89" s="693">
        <v>2.8358275613248236</v>
      </c>
      <c r="AE89" s="698">
        <v>3.4179314287131906</v>
      </c>
      <c r="AF89" s="698">
        <v>4.7667924034393323</v>
      </c>
      <c r="AG89" s="698">
        <v>4.1835168377903305</v>
      </c>
      <c r="AH89" s="698">
        <v>5.6070853724220298</v>
      </c>
      <c r="AI89" s="698">
        <v>3.9727539789728428</v>
      </c>
      <c r="AJ89" s="698">
        <v>4.8645449120980242</v>
      </c>
      <c r="AK89" s="698">
        <v>1.6058014639141769</v>
      </c>
      <c r="AL89" s="698">
        <v>1.4109198603444315</v>
      </c>
      <c r="AM89" s="698">
        <v>1.7110951958290983</v>
      </c>
      <c r="AN89" s="698">
        <v>1.2008026003469843</v>
      </c>
      <c r="AO89" s="698">
        <v>1.4235790805514683</v>
      </c>
      <c r="AP89" s="698">
        <v>0.70910261905546934</v>
      </c>
      <c r="AQ89" s="698">
        <v>0.75211344759086463</v>
      </c>
      <c r="AR89" s="653">
        <v>0.78675713647078371</v>
      </c>
      <c r="AS89" s="698">
        <v>0.70682063341744084</v>
      </c>
      <c r="AT89" s="701">
        <v>0.75373149300830189</v>
      </c>
    </row>
    <row r="90" spans="2:46" x14ac:dyDescent="0.25">
      <c r="B90" s="711" t="s">
        <v>37</v>
      </c>
      <c r="C90" s="712">
        <v>25</v>
      </c>
      <c r="D90" s="713">
        <v>5.2503859910566115</v>
      </c>
      <c r="E90" s="713">
        <v>5.0089470231847617</v>
      </c>
      <c r="F90" s="637">
        <v>6.2876990281325504</v>
      </c>
      <c r="G90" s="667">
        <v>4.8128305107790652</v>
      </c>
      <c r="H90" s="667">
        <v>5.5504785822237341</v>
      </c>
      <c r="I90" s="713">
        <v>8.703088478128775</v>
      </c>
      <c r="J90" s="713">
        <v>8.1204278372820848</v>
      </c>
      <c r="K90" s="713">
        <v>10.213581450991107</v>
      </c>
      <c r="L90" s="713">
        <v>7.7053440007244847</v>
      </c>
      <c r="M90" s="713">
        <v>8.9711453063850595</v>
      </c>
      <c r="N90" s="713">
        <v>4.662505208487981</v>
      </c>
      <c r="O90" s="713">
        <v>3.6597876879822202</v>
      </c>
      <c r="P90" s="713">
        <v>4.7235215736084246</v>
      </c>
      <c r="Q90" s="713">
        <v>3.1393615456241144</v>
      </c>
      <c r="R90" s="713">
        <v>3.8102167951195209</v>
      </c>
      <c r="S90" s="713">
        <v>2.5064071269256405</v>
      </c>
      <c r="T90" s="719">
        <v>2.4890092839365465</v>
      </c>
      <c r="U90" s="643">
        <v>2.6647667095334473</v>
      </c>
      <c r="V90" s="667">
        <v>2.3547255501144377</v>
      </c>
      <c r="W90" s="723">
        <v>2.5285232548838152</v>
      </c>
      <c r="Y90" s="578" t="s">
        <v>37</v>
      </c>
      <c r="Z90" s="697">
        <v>25</v>
      </c>
      <c r="AA90" s="698">
        <v>2.917981065649363</v>
      </c>
      <c r="AB90" s="699">
        <v>2.5318059922689233</v>
      </c>
      <c r="AC90" s="643">
        <v>3.5386009005432624</v>
      </c>
      <c r="AD90" s="693">
        <v>2.4345763298924186</v>
      </c>
      <c r="AE90" s="698">
        <v>2.9343162705044934</v>
      </c>
      <c r="AF90" s="698">
        <v>4.3249445533731086</v>
      </c>
      <c r="AG90" s="698">
        <v>3.591576303120672</v>
      </c>
      <c r="AH90" s="698">
        <v>5.0873483234255401</v>
      </c>
      <c r="AI90" s="698">
        <v>3.4106350236523961</v>
      </c>
      <c r="AJ90" s="698">
        <v>4.1762433161343777</v>
      </c>
      <c r="AK90" s="698">
        <v>1.4562063000693921</v>
      </c>
      <c r="AL90" s="698">
        <v>1.2794777774522701</v>
      </c>
      <c r="AM90" s="698">
        <v>1.5516909531961758</v>
      </c>
      <c r="AN90" s="698">
        <v>1.0889351588514762</v>
      </c>
      <c r="AO90" s="698">
        <v>1.2909576576283306</v>
      </c>
      <c r="AP90" s="698">
        <v>0.64304319336420079</v>
      </c>
      <c r="AQ90" s="698">
        <v>0.68204613838280348</v>
      </c>
      <c r="AR90" s="653">
        <v>0.71346347882924932</v>
      </c>
      <c r="AS90" s="698">
        <v>0.64097282809640344</v>
      </c>
      <c r="AT90" s="701">
        <v>0.68351344578466688</v>
      </c>
    </row>
    <row r="91" spans="2:46" x14ac:dyDescent="0.25">
      <c r="B91" s="711" t="s">
        <v>37</v>
      </c>
      <c r="C91" s="712">
        <v>30</v>
      </c>
      <c r="D91" s="713">
        <v>4.8914714766209109</v>
      </c>
      <c r="E91" s="713">
        <v>4.6813711929141588</v>
      </c>
      <c r="F91" s="637">
        <v>5.8578741643141363</v>
      </c>
      <c r="G91" s="667">
        <v>4.498080336097094</v>
      </c>
      <c r="H91" s="667">
        <v>5.1874875939870293</v>
      </c>
      <c r="I91" s="713">
        <v>8.1081484526641123</v>
      </c>
      <c r="J91" s="713">
        <v>7.5893669419207086</v>
      </c>
      <c r="K91" s="713">
        <v>9.5153846644355689</v>
      </c>
      <c r="L91" s="713">
        <v>7.2014288171789653</v>
      </c>
      <c r="M91" s="713">
        <v>8.3844490689094187</v>
      </c>
      <c r="N91" s="713">
        <v>4.2754089748016844</v>
      </c>
      <c r="O91" s="713">
        <v>3.355940299773335</v>
      </c>
      <c r="P91" s="713">
        <v>4.3313595643196994</v>
      </c>
      <c r="Q91" s="713">
        <v>2.8787216157687263</v>
      </c>
      <c r="R91" s="713">
        <v>3.4938802968280056</v>
      </c>
      <c r="S91" s="713">
        <v>2.2983171161839593</v>
      </c>
      <c r="T91" s="719">
        <v>2.2823636982827091</v>
      </c>
      <c r="U91" s="643">
        <v>2.4435291750347914</v>
      </c>
      <c r="V91" s="667">
        <v>2.1592286335308772</v>
      </c>
      <c r="W91" s="723">
        <v>2.318597091804814</v>
      </c>
      <c r="Y91" s="578" t="s">
        <v>37</v>
      </c>
      <c r="Z91" s="697">
        <v>30</v>
      </c>
      <c r="AA91" s="698">
        <v>2.7185089203453678</v>
      </c>
      <c r="AB91" s="699">
        <v>2.3662305836725146</v>
      </c>
      <c r="AC91" s="643">
        <v>3.2967034045946599</v>
      </c>
      <c r="AD91" s="693">
        <v>2.275359560593349</v>
      </c>
      <c r="AE91" s="698">
        <v>2.7424174374487791</v>
      </c>
      <c r="AF91" s="698">
        <v>4.0292928856710839</v>
      </c>
      <c r="AG91" s="698">
        <v>3.3566938849139536</v>
      </c>
      <c r="AH91" s="698">
        <v>4.7395790058215042</v>
      </c>
      <c r="AI91" s="698">
        <v>3.1875858289910055</v>
      </c>
      <c r="AJ91" s="698">
        <v>3.9031247614036944</v>
      </c>
      <c r="AK91" s="698">
        <v>1.3353073521816921</v>
      </c>
      <c r="AL91" s="698">
        <v>1.1732514020188571</v>
      </c>
      <c r="AM91" s="698">
        <v>1.4228645611668729</v>
      </c>
      <c r="AN91" s="698">
        <v>0.99852824671492268</v>
      </c>
      <c r="AO91" s="698">
        <v>1.1837781854838978</v>
      </c>
      <c r="AP91" s="698">
        <v>0.58965567160964294</v>
      </c>
      <c r="AQ91" s="698">
        <v>0.62542046622534864</v>
      </c>
      <c r="AR91" s="653">
        <v>0.65422943764796593</v>
      </c>
      <c r="AS91" s="698">
        <v>0.58775719474983301</v>
      </c>
      <c r="AT91" s="701">
        <v>0.62676595303001736</v>
      </c>
    </row>
    <row r="92" spans="2:46" x14ac:dyDescent="0.25">
      <c r="B92" s="711" t="s">
        <v>37</v>
      </c>
      <c r="C92" s="712">
        <v>35</v>
      </c>
      <c r="D92" s="713">
        <v>4.6386169716114418</v>
      </c>
      <c r="E92" s="713">
        <v>4.2906610070984126</v>
      </c>
      <c r="F92" s="637">
        <v>5.555063470373705</v>
      </c>
      <c r="G92" s="667">
        <v>4.1226677205389075</v>
      </c>
      <c r="H92" s="667">
        <v>4.754536614831312</v>
      </c>
      <c r="I92" s="713">
        <v>7.6890144817638131</v>
      </c>
      <c r="J92" s="713">
        <v>6.9559536008487619</v>
      </c>
      <c r="K92" s="713">
        <v>9.0235065269875196</v>
      </c>
      <c r="L92" s="713">
        <v>6.6003930361330818</v>
      </c>
      <c r="M92" s="713">
        <v>7.6846776731622226</v>
      </c>
      <c r="N92" s="713">
        <v>3.6561427253786478</v>
      </c>
      <c r="O92" s="713">
        <v>2.8698593688551903</v>
      </c>
      <c r="P92" s="713">
        <v>3.703989221948353</v>
      </c>
      <c r="Q92" s="713">
        <v>2.4617619687387844</v>
      </c>
      <c r="R92" s="713">
        <v>2.987819868007676</v>
      </c>
      <c r="S92" s="713">
        <v>1.9654202567460786</v>
      </c>
      <c r="T92" s="719">
        <v>1.9517816938203625</v>
      </c>
      <c r="U92" s="643">
        <v>2.089599257102261</v>
      </c>
      <c r="V92" s="667">
        <v>1.846481751733638</v>
      </c>
      <c r="W92" s="723">
        <v>1.9827669720363819</v>
      </c>
      <c r="Y92" s="578" t="s">
        <v>37</v>
      </c>
      <c r="Z92" s="697">
        <v>35</v>
      </c>
      <c r="AA92" s="698">
        <v>2.5779812221459273</v>
      </c>
      <c r="AB92" s="699">
        <v>2.1687434900558085</v>
      </c>
      <c r="AC92" s="643">
        <v>3.1262871379321657</v>
      </c>
      <c r="AD92" s="693">
        <v>2.0854566197492899</v>
      </c>
      <c r="AE92" s="698">
        <v>2.5135335522760354</v>
      </c>
      <c r="AF92" s="698">
        <v>3.8210069203917052</v>
      </c>
      <c r="AG92" s="698">
        <v>3.0765421008626443</v>
      </c>
      <c r="AH92" s="698">
        <v>4.494576268056762</v>
      </c>
      <c r="AI92" s="698">
        <v>2.9215479097091896</v>
      </c>
      <c r="AJ92" s="698">
        <v>3.5773675125236357</v>
      </c>
      <c r="AK92" s="698">
        <v>1.1418964339078632</v>
      </c>
      <c r="AL92" s="698">
        <v>1.0033153832723785</v>
      </c>
      <c r="AM92" s="698">
        <v>1.2167715287987502</v>
      </c>
      <c r="AN92" s="698">
        <v>0.85389947017082424</v>
      </c>
      <c r="AO92" s="698">
        <v>1.0123174469125147</v>
      </c>
      <c r="AP92" s="698">
        <v>0.50424773558273617</v>
      </c>
      <c r="AQ92" s="698">
        <v>0.53483334747993772</v>
      </c>
      <c r="AR92" s="653">
        <v>0.55946839548750427</v>
      </c>
      <c r="AS92" s="698">
        <v>0.50262529761890595</v>
      </c>
      <c r="AT92" s="701">
        <v>0.53598395135459842</v>
      </c>
    </row>
    <row r="93" spans="2:46" x14ac:dyDescent="0.25">
      <c r="B93" s="711" t="s">
        <v>37</v>
      </c>
      <c r="C93" s="712">
        <v>40</v>
      </c>
      <c r="D93" s="713">
        <v>4.4521958773914889</v>
      </c>
      <c r="E93" s="713">
        <v>3.9610041107917087</v>
      </c>
      <c r="F93" s="637">
        <v>5.3318113637768105</v>
      </c>
      <c r="G93" s="667">
        <v>3.8059179603019029</v>
      </c>
      <c r="H93" s="667">
        <v>4.3892395705696376</v>
      </c>
      <c r="I93" s="713">
        <v>7.380001148277576</v>
      </c>
      <c r="J93" s="713">
        <v>6.4215189132527</v>
      </c>
      <c r="K93" s="713">
        <v>8.6608613741851048</v>
      </c>
      <c r="L93" s="713">
        <v>6.093276515136365</v>
      </c>
      <c r="M93" s="713">
        <v>7.094254196066033</v>
      </c>
      <c r="N93" s="713">
        <v>3.4151632235982774</v>
      </c>
      <c r="O93" s="713">
        <v>2.6806988430642233</v>
      </c>
      <c r="P93" s="713">
        <v>3.4598561165558293</v>
      </c>
      <c r="Q93" s="713">
        <v>2.2995002936781721</v>
      </c>
      <c r="R93" s="713">
        <v>2.7908842329955377</v>
      </c>
      <c r="S93" s="713">
        <v>1.8358777224866518</v>
      </c>
      <c r="T93" s="719">
        <v>1.8231342571414284</v>
      </c>
      <c r="U93" s="643">
        <v>1.9518719784591705</v>
      </c>
      <c r="V93" s="667">
        <v>1.724774931249019</v>
      </c>
      <c r="W93" s="723">
        <v>1.8520772082724588</v>
      </c>
      <c r="Y93" s="578" t="s">
        <v>37</v>
      </c>
      <c r="Z93" s="697">
        <v>40</v>
      </c>
      <c r="AA93" s="698">
        <v>2.4743748922307454</v>
      </c>
      <c r="AB93" s="699">
        <v>2.0021161926220619</v>
      </c>
      <c r="AC93" s="643">
        <v>3.0006449750491595</v>
      </c>
      <c r="AD93" s="693">
        <v>1.9252283575977345</v>
      </c>
      <c r="AE93" s="698">
        <v>2.3204155995327982</v>
      </c>
      <c r="AF93" s="698">
        <v>3.6674447065937463</v>
      </c>
      <c r="AG93" s="698">
        <v>2.8401674912979638</v>
      </c>
      <c r="AH93" s="698">
        <v>4.3139440168762775</v>
      </c>
      <c r="AI93" s="698">
        <v>2.69708169932046</v>
      </c>
      <c r="AJ93" s="698">
        <v>3.3025138549692516</v>
      </c>
      <c r="AK93" s="698">
        <v>1.066633060895148</v>
      </c>
      <c r="AL93" s="698">
        <v>0.93718403638701642</v>
      </c>
      <c r="AM93" s="698">
        <v>1.1365730740844051</v>
      </c>
      <c r="AN93" s="698">
        <v>0.79761654756386224</v>
      </c>
      <c r="AO93" s="698">
        <v>0.94559274862120868</v>
      </c>
      <c r="AP93" s="698">
        <v>0.47101233499207051</v>
      </c>
      <c r="AQ93" s="698">
        <v>0.49958097298459592</v>
      </c>
      <c r="AR93" s="653">
        <v>0.5225933538567159</v>
      </c>
      <c r="AS93" s="698">
        <v>0.46949584653665288</v>
      </c>
      <c r="AT93" s="701">
        <v>0.50065573731245872</v>
      </c>
    </row>
    <row r="94" spans="2:46" x14ac:dyDescent="0.25">
      <c r="B94" s="711" t="s">
        <v>37</v>
      </c>
      <c r="C94" s="712">
        <v>45</v>
      </c>
      <c r="D94" s="713">
        <v>4.3098527012713941</v>
      </c>
      <c r="E94" s="713">
        <v>3.7553806930206077</v>
      </c>
      <c r="F94" s="637">
        <v>5.1613456015116812</v>
      </c>
      <c r="G94" s="667">
        <v>3.6083453658626419</v>
      </c>
      <c r="H94" s="667">
        <v>4.1613856182200912</v>
      </c>
      <c r="I94" s="713">
        <v>7.1440517803375361</v>
      </c>
      <c r="J94" s="713">
        <v>6.0881653924554531</v>
      </c>
      <c r="K94" s="713">
        <v>8.3839610423291653</v>
      </c>
      <c r="L94" s="713">
        <v>5.7769626948469188</v>
      </c>
      <c r="M94" s="713">
        <v>6.725977679927678</v>
      </c>
      <c r="N94" s="713">
        <v>3.2277346880609028</v>
      </c>
      <c r="O94" s="713">
        <v>2.5335786542250838</v>
      </c>
      <c r="P94" s="713">
        <v>3.2699747777620596</v>
      </c>
      <c r="Q94" s="713">
        <v>2.1733007698797864</v>
      </c>
      <c r="R94" s="713">
        <v>2.6377169287126212</v>
      </c>
      <c r="S94" s="713">
        <v>1.7351223997033329</v>
      </c>
      <c r="T94" s="719">
        <v>1.7230783120718369</v>
      </c>
      <c r="U94" s="643">
        <v>1.8447507422174692</v>
      </c>
      <c r="V94" s="667">
        <v>1.6301170720691653</v>
      </c>
      <c r="W94" s="723">
        <v>1.750432836943433</v>
      </c>
      <c r="Y94" s="578" t="s">
        <v>37</v>
      </c>
      <c r="Z94" s="697">
        <v>45</v>
      </c>
      <c r="AA94" s="698">
        <v>2.3952655289476774</v>
      </c>
      <c r="AB94" s="699">
        <v>1.898182451886931</v>
      </c>
      <c r="AC94" s="643">
        <v>2.9047099919712029</v>
      </c>
      <c r="AD94" s="693">
        <v>1.8252860137358482</v>
      </c>
      <c r="AE94" s="698">
        <v>2.1999583182779334</v>
      </c>
      <c r="AF94" s="698">
        <v>3.5501911665075361</v>
      </c>
      <c r="AG94" s="698">
        <v>2.6927288797065376</v>
      </c>
      <c r="AH94" s="698">
        <v>4.1760209537683215</v>
      </c>
      <c r="AI94" s="698">
        <v>2.5570709491394124</v>
      </c>
      <c r="AJ94" s="698">
        <v>3.1310739455167309</v>
      </c>
      <c r="AK94" s="698">
        <v>1.0080948712186124</v>
      </c>
      <c r="AL94" s="698">
        <v>0.88575017511348386</v>
      </c>
      <c r="AM94" s="698">
        <v>1.0741964868294032</v>
      </c>
      <c r="AN94" s="698">
        <v>0.75384232898558901</v>
      </c>
      <c r="AO94" s="698">
        <v>0.89369740644131124</v>
      </c>
      <c r="AP94" s="698">
        <v>0.44516257426684563</v>
      </c>
      <c r="AQ94" s="698">
        <v>0.47216332878480183</v>
      </c>
      <c r="AR94" s="653">
        <v>0.49391276069557011</v>
      </c>
      <c r="AS94" s="698">
        <v>0.44372931264181614</v>
      </c>
      <c r="AT94" s="701">
        <v>0.47317910866863355</v>
      </c>
    </row>
    <row r="95" spans="2:46" x14ac:dyDescent="0.25">
      <c r="B95" s="711" t="s">
        <v>37</v>
      </c>
      <c r="C95" s="712">
        <v>50</v>
      </c>
      <c r="D95" s="713">
        <v>4.1610402767829466</v>
      </c>
      <c r="E95" s="713">
        <v>3.6716839977534859</v>
      </c>
      <c r="F95" s="637">
        <v>4.9831324685298606</v>
      </c>
      <c r="G95" s="667">
        <v>3.5279256675171675</v>
      </c>
      <c r="H95" s="667">
        <v>4.0686402343434436</v>
      </c>
      <c r="I95" s="713">
        <v>6.8973789263466294</v>
      </c>
      <c r="J95" s="713">
        <v>5.9524775979969053</v>
      </c>
      <c r="K95" s="713">
        <v>8.0944760747436959</v>
      </c>
      <c r="L95" s="713">
        <v>5.6482107184790529</v>
      </c>
      <c r="M95" s="713">
        <v>6.5760748737230772</v>
      </c>
      <c r="N95" s="713">
        <v>3.0235426016487179</v>
      </c>
      <c r="O95" s="713">
        <v>2.3733000807075095</v>
      </c>
      <c r="P95" s="713">
        <v>3.0631105101206617</v>
      </c>
      <c r="Q95" s="713">
        <v>2.0358139992835449</v>
      </c>
      <c r="R95" s="713">
        <v>2.4708503875960894</v>
      </c>
      <c r="S95" s="713">
        <v>1.6253555516763074</v>
      </c>
      <c r="T95" s="719">
        <v>1.6140733938872802</v>
      </c>
      <c r="U95" s="643">
        <v>1.728048615379991</v>
      </c>
      <c r="V95" s="667">
        <v>1.5269930429247838</v>
      </c>
      <c r="W95" s="723">
        <v>1.639697424140776</v>
      </c>
      <c r="Y95" s="578" t="s">
        <v>37</v>
      </c>
      <c r="Z95" s="697">
        <v>50</v>
      </c>
      <c r="AA95" s="698">
        <v>2.312560783481282</v>
      </c>
      <c r="AB95" s="699">
        <v>1.8558773938319004</v>
      </c>
      <c r="AC95" s="643">
        <v>2.8044149317215714</v>
      </c>
      <c r="AD95" s="693">
        <v>1.7846056088035567</v>
      </c>
      <c r="AE95" s="698">
        <v>2.1509275392393441</v>
      </c>
      <c r="AF95" s="698">
        <v>3.4276086581239888</v>
      </c>
      <c r="AG95" s="698">
        <v>2.6327156541763981</v>
      </c>
      <c r="AH95" s="698">
        <v>4.0318295286967647</v>
      </c>
      <c r="AI95" s="698">
        <v>2.5000811509002392</v>
      </c>
      <c r="AJ95" s="698">
        <v>3.0612912621355819</v>
      </c>
      <c r="AK95" s="698">
        <v>0.94432104376713277</v>
      </c>
      <c r="AL95" s="698">
        <v>0.82971608502380678</v>
      </c>
      <c r="AM95" s="698">
        <v>1.0062409566943946</v>
      </c>
      <c r="AN95" s="698">
        <v>0.7061529576903719</v>
      </c>
      <c r="AO95" s="698">
        <v>0.83716056073419387</v>
      </c>
      <c r="AP95" s="698">
        <v>0.41700081885107604</v>
      </c>
      <c r="AQ95" s="698">
        <v>0.44229345887619059</v>
      </c>
      <c r="AR95" s="653">
        <v>0.46266698405690243</v>
      </c>
      <c r="AS95" s="698">
        <v>0.41565822783868145</v>
      </c>
      <c r="AT95" s="701">
        <v>0.4432449787653634</v>
      </c>
    </row>
    <row r="96" spans="2:46" x14ac:dyDescent="0.25">
      <c r="B96" s="711" t="s">
        <v>37</v>
      </c>
      <c r="C96" s="712">
        <v>55</v>
      </c>
      <c r="D96" s="713">
        <v>4.03166526334127</v>
      </c>
      <c r="E96" s="713">
        <v>3.6771735681417264</v>
      </c>
      <c r="F96" s="637">
        <v>4.8281969747075939</v>
      </c>
      <c r="G96" s="667">
        <v>3.5332003034303248</v>
      </c>
      <c r="H96" s="667">
        <v>4.0747232978544972</v>
      </c>
      <c r="I96" s="713">
        <v>6.6829257050482411</v>
      </c>
      <c r="J96" s="713">
        <v>5.9613772050378762</v>
      </c>
      <c r="K96" s="713">
        <v>7.8428027235347653</v>
      </c>
      <c r="L96" s="713">
        <v>5.6566554131547591</v>
      </c>
      <c r="M96" s="713">
        <v>6.5859068271046119</v>
      </c>
      <c r="N96" s="713">
        <v>2.8329309801534461</v>
      </c>
      <c r="O96" s="713">
        <v>2.223669235977729</v>
      </c>
      <c r="P96" s="713">
        <v>2.8700044295795997</v>
      </c>
      <c r="Q96" s="713">
        <v>1.9074608378347413</v>
      </c>
      <c r="R96" s="713">
        <v>2.3150692313477443</v>
      </c>
      <c r="S96" s="713">
        <v>1.5228891081598759</v>
      </c>
      <c r="T96" s="719">
        <v>1.5123099601999488</v>
      </c>
      <c r="U96" s="643">
        <v>1.6191081465337354</v>
      </c>
      <c r="V96" s="667">
        <v>1.4307198152926426</v>
      </c>
      <c r="W96" s="723">
        <v>1.5363184571614772</v>
      </c>
      <c r="Y96" s="578" t="s">
        <v>37</v>
      </c>
      <c r="Z96" s="697">
        <v>55</v>
      </c>
      <c r="AA96" s="698">
        <v>2.2406586718586325</v>
      </c>
      <c r="AB96" s="699">
        <v>1.8586521341395132</v>
      </c>
      <c r="AC96" s="643">
        <v>2.717220096931837</v>
      </c>
      <c r="AD96" s="693">
        <v>1.7872737899734965</v>
      </c>
      <c r="AE96" s="698">
        <v>2.1541434118835814</v>
      </c>
      <c r="AF96" s="698">
        <v>3.3210374916078007</v>
      </c>
      <c r="AG96" s="698">
        <v>2.6366518529082792</v>
      </c>
      <c r="AH96" s="698">
        <v>3.9064719342557463</v>
      </c>
      <c r="AI96" s="698">
        <v>2.5038190464987102</v>
      </c>
      <c r="AJ96" s="698">
        <v>3.0658682284193577</v>
      </c>
      <c r="AK96" s="698">
        <v>0.88478870403214482</v>
      </c>
      <c r="AL96" s="698">
        <v>0.77740448747353519</v>
      </c>
      <c r="AM96" s="698">
        <v>0.94280503213825173</v>
      </c>
      <c r="AN96" s="698">
        <v>0.66163171723427927</v>
      </c>
      <c r="AO96" s="698">
        <v>0.78437960694946607</v>
      </c>
      <c r="AP96" s="698">
        <v>0.39071205341323606</v>
      </c>
      <c r="AQ96" s="698">
        <v>0.41440792328459719</v>
      </c>
      <c r="AR96" s="653">
        <v>0.43349931035013084</v>
      </c>
      <c r="AS96" s="698">
        <v>0.38945197930906267</v>
      </c>
      <c r="AT96" s="701">
        <v>0.41529945214020814</v>
      </c>
    </row>
    <row r="97" spans="2:46" x14ac:dyDescent="0.25">
      <c r="B97" s="711" t="s">
        <v>37</v>
      </c>
      <c r="C97" s="712">
        <v>60</v>
      </c>
      <c r="D97" s="713">
        <v>3.9758259832603486</v>
      </c>
      <c r="E97" s="713">
        <v>3.7712584880478532</v>
      </c>
      <c r="F97" s="637">
        <v>4.7613255889286279</v>
      </c>
      <c r="G97" s="667">
        <v>3.623601493746869</v>
      </c>
      <c r="H97" s="667">
        <v>4.1789800069855838</v>
      </c>
      <c r="I97" s="713">
        <v>6.5903659968806769</v>
      </c>
      <c r="J97" s="713">
        <v>6.1139062294291939</v>
      </c>
      <c r="K97" s="713">
        <v>7.7341785126210043</v>
      </c>
      <c r="L97" s="713">
        <v>5.8013877630482069</v>
      </c>
      <c r="M97" s="713">
        <v>6.7544151949732765</v>
      </c>
      <c r="N97" s="713">
        <v>2.7391011398458156</v>
      </c>
      <c r="O97" s="713">
        <v>2.1500366399153443</v>
      </c>
      <c r="P97" s="713">
        <v>2.7749466751915768</v>
      </c>
      <c r="Q97" s="713">
        <v>1.8442988841121823</v>
      </c>
      <c r="R97" s="713">
        <v>2.2384100975115322</v>
      </c>
      <c r="S97" s="713">
        <v>1.4724493188300518</v>
      </c>
      <c r="T97" s="719">
        <v>1.4622326795419907</v>
      </c>
      <c r="U97" s="643">
        <v>1.5654814751130939</v>
      </c>
      <c r="V97" s="667">
        <v>1.3833442377861378</v>
      </c>
      <c r="W97" s="723">
        <v>1.485446180588555</v>
      </c>
      <c r="Y97" s="578" t="s">
        <v>37</v>
      </c>
      <c r="Z97" s="697">
        <v>60</v>
      </c>
      <c r="AA97" s="698">
        <v>2.2096251512235474</v>
      </c>
      <c r="AB97" s="699">
        <v>1.9062079902701339</v>
      </c>
      <c r="AC97" s="643">
        <v>2.679586115903279</v>
      </c>
      <c r="AD97" s="693">
        <v>1.8330033450961705</v>
      </c>
      <c r="AE97" s="698">
        <v>2.2092597686770952</v>
      </c>
      <c r="AF97" s="698">
        <v>3.2750405324010634</v>
      </c>
      <c r="AG97" s="698">
        <v>2.70411377000418</v>
      </c>
      <c r="AH97" s="698">
        <v>3.8523666040219608</v>
      </c>
      <c r="AI97" s="698">
        <v>2.5678822760645406</v>
      </c>
      <c r="AJ97" s="698">
        <v>3.1443121640585843</v>
      </c>
      <c r="AK97" s="698">
        <v>0.85548351326437155</v>
      </c>
      <c r="AL97" s="698">
        <v>0.75166220994544086</v>
      </c>
      <c r="AM97" s="698">
        <v>0.91157827574125283</v>
      </c>
      <c r="AN97" s="698">
        <v>0.63972303576810197</v>
      </c>
      <c r="AO97" s="698">
        <v>0.75840636154784613</v>
      </c>
      <c r="AP97" s="698">
        <v>0.37777123352215464</v>
      </c>
      <c r="AQ97" s="698">
        <v>0.40068558961798523</v>
      </c>
      <c r="AR97" s="653">
        <v>0.41914132868782511</v>
      </c>
      <c r="AS97" s="698">
        <v>0.37655601447122039</v>
      </c>
      <c r="AT97" s="701">
        <v>0.40154759718372041</v>
      </c>
    </row>
    <row r="98" spans="2:46" x14ac:dyDescent="0.25">
      <c r="B98" s="711" t="s">
        <v>37</v>
      </c>
      <c r="C98" s="712">
        <v>65</v>
      </c>
      <c r="D98" s="713">
        <v>4.1783806240309813</v>
      </c>
      <c r="E98" s="713">
        <v>3.9308243122318642</v>
      </c>
      <c r="F98" s="637">
        <v>5.0038987292818646</v>
      </c>
      <c r="G98" s="667">
        <v>3.7769197986831702</v>
      </c>
      <c r="H98" s="667">
        <v>4.355796947849357</v>
      </c>
      <c r="I98" s="713">
        <v>6.9261224466512674</v>
      </c>
      <c r="J98" s="713">
        <v>6.3725918882283672</v>
      </c>
      <c r="K98" s="713">
        <v>8.1282082706828049</v>
      </c>
      <c r="L98" s="713">
        <v>6.0468504442077275</v>
      </c>
      <c r="M98" s="713">
        <v>7.0402014466668907</v>
      </c>
      <c r="N98" s="713">
        <v>2.7038167053880069</v>
      </c>
      <c r="O98" s="713">
        <v>2.1223464409354196</v>
      </c>
      <c r="P98" s="713">
        <v>2.7392004872686941</v>
      </c>
      <c r="Q98" s="713">
        <v>1.8205462642119326</v>
      </c>
      <c r="R98" s="713">
        <v>2.2095817418230412</v>
      </c>
      <c r="S98" s="713">
        <v>1.4534815849530809</v>
      </c>
      <c r="T98" s="719">
        <v>1.4434006684498168</v>
      </c>
      <c r="U98" s="643">
        <v>1.545315323633689</v>
      </c>
      <c r="V98" s="667">
        <v>1.3655282264257276</v>
      </c>
      <c r="W98" s="723">
        <v>1.4663152041433882</v>
      </c>
      <c r="Y98" s="578" t="s">
        <v>37</v>
      </c>
      <c r="Z98" s="697">
        <v>65</v>
      </c>
      <c r="AA98" s="698">
        <v>2.3221979425449657</v>
      </c>
      <c r="AB98" s="699">
        <v>1.9868616102745928</v>
      </c>
      <c r="AC98" s="643">
        <v>2.8161017997903479</v>
      </c>
      <c r="AD98" s="693">
        <v>1.9105596012953368</v>
      </c>
      <c r="AE98" s="698">
        <v>2.3027358210195104</v>
      </c>
      <c r="AF98" s="698">
        <v>3.4418925680139916</v>
      </c>
      <c r="AG98" s="698">
        <v>2.8185276039446387</v>
      </c>
      <c r="AH98" s="698">
        <v>4.0486314146248032</v>
      </c>
      <c r="AI98" s="698">
        <v>2.6765320154251149</v>
      </c>
      <c r="AJ98" s="698">
        <v>3.2773512446572557</v>
      </c>
      <c r="AK98" s="698">
        <v>0.84446338278638144</v>
      </c>
      <c r="AL98" s="698">
        <v>0.74198159531186947</v>
      </c>
      <c r="AM98" s="698">
        <v>0.89983554618093997</v>
      </c>
      <c r="AN98" s="698">
        <v>0.63148407935982531</v>
      </c>
      <c r="AO98" s="698">
        <v>0.74863888937131273</v>
      </c>
      <c r="AP98" s="698">
        <v>0.37290487640399139</v>
      </c>
      <c r="AQ98" s="698">
        <v>0.39552518281424476</v>
      </c>
      <c r="AR98" s="653">
        <v>0.41374205206911774</v>
      </c>
      <c r="AS98" s="698">
        <v>0.3717063710864425</v>
      </c>
      <c r="AT98" s="701">
        <v>0.39637608863381701</v>
      </c>
    </row>
    <row r="99" spans="2:46" x14ac:dyDescent="0.25">
      <c r="B99" s="711" t="s">
        <v>37</v>
      </c>
      <c r="C99" s="712">
        <v>70</v>
      </c>
      <c r="D99" s="713">
        <v>4.8237422366479654</v>
      </c>
      <c r="E99" s="713">
        <v>4.2683430313559469</v>
      </c>
      <c r="F99" s="637">
        <v>5.7767637322279146</v>
      </c>
      <c r="G99" s="667">
        <v>4.1012235658902396</v>
      </c>
      <c r="H99" s="667">
        <v>4.7298057790321382</v>
      </c>
      <c r="I99" s="713">
        <v>7.995879836786151</v>
      </c>
      <c r="J99" s="713">
        <v>6.9197720419997584</v>
      </c>
      <c r="K99" s="713">
        <v>9.38363090190159</v>
      </c>
      <c r="L99" s="713">
        <v>6.5660609340566296</v>
      </c>
      <c r="M99" s="713">
        <v>7.6447056386401382</v>
      </c>
      <c r="N99" s="713">
        <v>2.6735805777908812</v>
      </c>
      <c r="O99" s="713">
        <v>2.0986068576788601</v>
      </c>
      <c r="P99" s="713">
        <v>2.7085686714055401</v>
      </c>
      <c r="Q99" s="713">
        <v>1.8001824778017224</v>
      </c>
      <c r="R99" s="713">
        <v>2.1848663849376386</v>
      </c>
      <c r="S99" s="713">
        <v>1.4372276522899912</v>
      </c>
      <c r="T99" s="719">
        <v>1.4272554578092127</v>
      </c>
      <c r="U99" s="643">
        <v>1.528034436504738</v>
      </c>
      <c r="V99" s="667">
        <v>1.3502540608158338</v>
      </c>
      <c r="W99" s="723">
        <v>1.4499136821309033</v>
      </c>
      <c r="Y99" s="578" t="s">
        <v>37</v>
      </c>
      <c r="Z99" s="697">
        <v>70</v>
      </c>
      <c r="AA99" s="698">
        <v>2.6808673754820909</v>
      </c>
      <c r="AB99" s="699">
        <v>2.1574627189758702</v>
      </c>
      <c r="AC99" s="643">
        <v>3.2510559512513022</v>
      </c>
      <c r="AD99" s="693">
        <v>2.0746090673151714</v>
      </c>
      <c r="AE99" s="698">
        <v>2.500459347449608</v>
      </c>
      <c r="AF99" s="698">
        <v>3.9735017099319947</v>
      </c>
      <c r="AG99" s="698">
        <v>3.0605393936191376</v>
      </c>
      <c r="AH99" s="698">
        <v>4.6739529288035149</v>
      </c>
      <c r="AI99" s="698">
        <v>2.906351408454146</v>
      </c>
      <c r="AJ99" s="698">
        <v>3.55875974993547</v>
      </c>
      <c r="AK99" s="698">
        <v>0.83501995322913813</v>
      </c>
      <c r="AL99" s="698">
        <v>0.73368213320851106</v>
      </c>
      <c r="AM99" s="698">
        <v>0.88977290312657209</v>
      </c>
      <c r="AN99" s="698">
        <v>0.62442059123743032</v>
      </c>
      <c r="AO99" s="698">
        <v>0.74026496186327795</v>
      </c>
      <c r="AP99" s="698">
        <v>0.36873477145491218</v>
      </c>
      <c r="AQ99" s="698">
        <v>0.39110102150561959</v>
      </c>
      <c r="AR99" s="653">
        <v>0.40911527487163635</v>
      </c>
      <c r="AS99" s="698">
        <v>0.36754863596214715</v>
      </c>
      <c r="AT99" s="701">
        <v>0.39194240948721892</v>
      </c>
    </row>
    <row r="100" spans="2:46" ht="15.75" thickBot="1" x14ac:dyDescent="0.3">
      <c r="B100" s="714" t="s">
        <v>37</v>
      </c>
      <c r="C100" s="715">
        <v>75</v>
      </c>
      <c r="D100" s="716">
        <v>6.3823950909173535</v>
      </c>
      <c r="E100" s="716">
        <v>5.5257032432068316</v>
      </c>
      <c r="F100" s="638">
        <v>7.6433579319075831</v>
      </c>
      <c r="G100" s="720">
        <v>5.3093540497275296</v>
      </c>
      <c r="H100" s="720">
        <v>6.1231027921000285</v>
      </c>
      <c r="I100" s="716">
        <v>10.579517253254371</v>
      </c>
      <c r="J100" s="716">
        <v>8.9581850694374019</v>
      </c>
      <c r="K100" s="716">
        <v>12.415679956583848</v>
      </c>
      <c r="L100" s="716">
        <v>8.5002784293286897</v>
      </c>
      <c r="M100" s="716">
        <v>9.8966681989886833</v>
      </c>
      <c r="N100" s="716">
        <v>2.5470250897957443</v>
      </c>
      <c r="O100" s="716">
        <v>1.9992683939972056</v>
      </c>
      <c r="P100" s="716">
        <v>2.5803570016973087</v>
      </c>
      <c r="Q100" s="716">
        <v>1.7149700612706689</v>
      </c>
      <c r="R100" s="716">
        <v>2.0814447892084367</v>
      </c>
      <c r="S100" s="716">
        <v>1.369195647417351</v>
      </c>
      <c r="T100" s="721">
        <v>1.3596957031361347</v>
      </c>
      <c r="U100" s="644">
        <v>1.4557040398106473</v>
      </c>
      <c r="V100" s="667">
        <v>1.2863392005881706</v>
      </c>
      <c r="W100" s="724">
        <v>1.381281390605277</v>
      </c>
      <c r="Y100" s="579" t="s">
        <v>37</v>
      </c>
      <c r="Z100" s="702">
        <v>75</v>
      </c>
      <c r="AA100" s="703">
        <v>3.5471121667080259</v>
      </c>
      <c r="AB100" s="705">
        <v>2.7930039023962019</v>
      </c>
      <c r="AC100" s="644">
        <v>4.3015406971627224</v>
      </c>
      <c r="AD100" s="704">
        <v>2.685743382721518</v>
      </c>
      <c r="AE100" s="703">
        <v>3.2370398124538462</v>
      </c>
      <c r="AF100" s="703">
        <v>5.2574239175857658</v>
      </c>
      <c r="AG100" s="703">
        <v>3.9621071523651952</v>
      </c>
      <c r="AH100" s="703">
        <v>6.1842056985001781</v>
      </c>
      <c r="AI100" s="703">
        <v>3.7624987695733685</v>
      </c>
      <c r="AJ100" s="703">
        <v>4.6070922949614443</v>
      </c>
      <c r="AK100" s="703">
        <v>0.79549379922262298</v>
      </c>
      <c r="AL100" s="703">
        <v>0.69895297196664641</v>
      </c>
      <c r="AM100" s="703">
        <v>0.84765498646625725</v>
      </c>
      <c r="AN100" s="703">
        <v>0.59486337236256071</v>
      </c>
      <c r="AO100" s="703">
        <v>0.70522419957863036</v>
      </c>
      <c r="AP100" s="703">
        <v>0.35128049708970482</v>
      </c>
      <c r="AQ100" s="703">
        <v>0.37258808542207655</v>
      </c>
      <c r="AR100" s="654">
        <v>0.38974956594640708</v>
      </c>
      <c r="AS100" s="703">
        <v>0.35015056223949165</v>
      </c>
      <c r="AT100" s="707">
        <v>0.37338964593949581</v>
      </c>
    </row>
    <row r="101" spans="2:46" s="603" customFormat="1" x14ac:dyDescent="0.25">
      <c r="B101" s="751" t="s">
        <v>425</v>
      </c>
      <c r="C101" s="571"/>
      <c r="D101" s="604"/>
      <c r="E101" s="604"/>
      <c r="F101" s="604"/>
      <c r="G101" s="604"/>
      <c r="H101" s="604"/>
      <c r="I101" s="604"/>
      <c r="J101" s="604"/>
      <c r="K101" s="604"/>
      <c r="L101" s="604"/>
      <c r="M101" s="604"/>
      <c r="N101" s="604"/>
      <c r="O101" s="604"/>
      <c r="P101" s="604"/>
      <c r="Q101" s="604"/>
      <c r="R101" s="604"/>
      <c r="S101" s="604"/>
      <c r="T101" s="604"/>
      <c r="U101" s="604"/>
      <c r="V101" s="604"/>
      <c r="W101" s="604"/>
    </row>
    <row r="102" spans="2:46" s="603" customFormat="1" x14ac:dyDescent="0.25">
      <c r="B102" s="269" t="s">
        <v>384</v>
      </c>
      <c r="C102" s="571"/>
      <c r="D102" s="604"/>
      <c r="E102" s="604"/>
      <c r="F102" s="604"/>
      <c r="G102" s="604"/>
      <c r="H102" s="604"/>
      <c r="I102" s="604"/>
      <c r="J102" s="604"/>
      <c r="K102" s="604"/>
      <c r="L102" s="604"/>
      <c r="M102" s="604"/>
      <c r="N102" s="604"/>
      <c r="O102" s="604"/>
      <c r="P102" s="604"/>
      <c r="Q102" s="604"/>
      <c r="R102" s="604"/>
      <c r="S102" s="604"/>
      <c r="T102" s="604"/>
      <c r="U102" s="604"/>
      <c r="V102" s="604"/>
      <c r="W102" s="604"/>
    </row>
    <row r="103" spans="2:46" s="603" customFormat="1" x14ac:dyDescent="0.25">
      <c r="C103" s="571"/>
      <c r="D103" s="604"/>
      <c r="E103" s="604"/>
      <c r="F103" s="604"/>
      <c r="G103" s="604"/>
      <c r="H103" s="604"/>
      <c r="I103" s="604"/>
      <c r="J103" s="604"/>
      <c r="K103" s="604"/>
      <c r="L103" s="604"/>
      <c r="M103" s="604"/>
      <c r="N103" s="604"/>
      <c r="O103" s="604"/>
      <c r="P103" s="604"/>
      <c r="Q103" s="604"/>
      <c r="R103" s="604"/>
      <c r="S103" s="604"/>
      <c r="T103" s="604"/>
      <c r="U103" s="604"/>
      <c r="V103" s="604"/>
      <c r="W103" s="604"/>
    </row>
    <row r="104" spans="2:46" s="603" customFormat="1" x14ac:dyDescent="0.25">
      <c r="B104" s="571"/>
      <c r="C104" s="571"/>
      <c r="D104" s="604"/>
      <c r="E104" s="604"/>
      <c r="F104" s="604"/>
      <c r="G104" s="604"/>
      <c r="H104" s="604"/>
      <c r="I104" s="604"/>
      <c r="J104" s="604"/>
      <c r="K104" s="604"/>
      <c r="L104" s="604"/>
      <c r="M104" s="604"/>
      <c r="N104" s="604"/>
      <c r="O104" s="604"/>
      <c r="P104" s="604"/>
      <c r="Q104" s="604"/>
      <c r="R104" s="604"/>
      <c r="S104" s="604"/>
      <c r="T104" s="604"/>
      <c r="U104" s="604"/>
      <c r="V104" s="604"/>
      <c r="W104" s="604"/>
    </row>
    <row r="105" spans="2:46" s="603" customFormat="1" x14ac:dyDescent="0.25">
      <c r="B105" s="571"/>
      <c r="C105" s="571"/>
      <c r="D105" s="604"/>
      <c r="E105" s="604"/>
      <c r="F105" s="604"/>
      <c r="G105" s="604"/>
      <c r="H105" s="604"/>
      <c r="I105" s="604"/>
      <c r="J105" s="604"/>
      <c r="K105" s="604"/>
      <c r="L105" s="604"/>
      <c r="M105" s="604"/>
      <c r="N105" s="604"/>
      <c r="O105" s="604"/>
      <c r="P105" s="604"/>
      <c r="Q105" s="604"/>
      <c r="R105" s="604"/>
      <c r="S105" s="604"/>
      <c r="T105" s="604"/>
      <c r="U105" s="604"/>
      <c r="V105" s="604"/>
      <c r="W105" s="604"/>
    </row>
    <row r="106" spans="2:46" s="603" customFormat="1" x14ac:dyDescent="0.25"/>
    <row r="107" spans="2:46" s="603" customFormat="1" x14ac:dyDescent="0.25"/>
    <row r="108" spans="2:46" s="603" customFormat="1" x14ac:dyDescent="0.25"/>
    <row r="109" spans="2:46" s="603" customFormat="1" x14ac:dyDescent="0.25"/>
    <row r="110" spans="2:46" s="603" customFormat="1" x14ac:dyDescent="0.25"/>
    <row r="111" spans="2:46" s="603" customFormat="1" x14ac:dyDescent="0.25"/>
    <row r="112" spans="2:46" s="603" customFormat="1" x14ac:dyDescent="0.25"/>
    <row r="113" s="603" customFormat="1" x14ac:dyDescent="0.25"/>
    <row r="114" s="603" customFormat="1" x14ac:dyDescent="0.25"/>
    <row r="115" s="603" customFormat="1" x14ac:dyDescent="0.25"/>
    <row r="116" s="603" customFormat="1" x14ac:dyDescent="0.25"/>
    <row r="117" s="603" customFormat="1" x14ac:dyDescent="0.25"/>
    <row r="118" s="603" customFormat="1" x14ac:dyDescent="0.25"/>
    <row r="119" s="603" customFormat="1" x14ac:dyDescent="0.25"/>
    <row r="120" s="603" customFormat="1" x14ac:dyDescent="0.25"/>
    <row r="121" s="603" customFormat="1" x14ac:dyDescent="0.25"/>
    <row r="122" s="603" customFormat="1" x14ac:dyDescent="0.25"/>
    <row r="123" s="603" customFormat="1" x14ac:dyDescent="0.25"/>
    <row r="124" s="603" customFormat="1" x14ac:dyDescent="0.25"/>
    <row r="125" s="603" customFormat="1" x14ac:dyDescent="0.25"/>
    <row r="126" s="603" customFormat="1" x14ac:dyDescent="0.25"/>
    <row r="127" s="603" customFormat="1" x14ac:dyDescent="0.25"/>
    <row r="128" s="603" customFormat="1" x14ac:dyDescent="0.25"/>
    <row r="129" s="603" customFormat="1" x14ac:dyDescent="0.25"/>
    <row r="130" s="603" customFormat="1" x14ac:dyDescent="0.25"/>
    <row r="131" s="603" customFormat="1" x14ac:dyDescent="0.25"/>
    <row r="132" s="603" customFormat="1" x14ac:dyDescent="0.25"/>
    <row r="133" s="603" customFormat="1" x14ac:dyDescent="0.25"/>
    <row r="134" s="603" customFormat="1" x14ac:dyDescent="0.25"/>
    <row r="135" s="603" customFormat="1" x14ac:dyDescent="0.25"/>
    <row r="136" s="603" customFormat="1" x14ac:dyDescent="0.25"/>
    <row r="137" s="603" customFormat="1" x14ac:dyDescent="0.25"/>
    <row r="138" s="603" customFormat="1" x14ac:dyDescent="0.25"/>
    <row r="139" s="603" customFormat="1" x14ac:dyDescent="0.25"/>
    <row r="140" s="603" customFormat="1" x14ac:dyDescent="0.25"/>
    <row r="141" s="603" customFormat="1" x14ac:dyDescent="0.25"/>
    <row r="142" s="603" customFormat="1" x14ac:dyDescent="0.25"/>
    <row r="143" s="603" customFormat="1" x14ac:dyDescent="0.25"/>
    <row r="144" s="603" customFormat="1" x14ac:dyDescent="0.25"/>
    <row r="145" s="603" customFormat="1" x14ac:dyDescent="0.25"/>
    <row r="146" s="603" customFormat="1" x14ac:dyDescent="0.25"/>
    <row r="147" s="603" customFormat="1" x14ac:dyDescent="0.25"/>
    <row r="148" s="603" customFormat="1" x14ac:dyDescent="0.25"/>
    <row r="149" s="603" customFormat="1" x14ac:dyDescent="0.25"/>
    <row r="150" s="603" customFormat="1" x14ac:dyDescent="0.25"/>
    <row r="151" s="603" customFormat="1" x14ac:dyDescent="0.25"/>
    <row r="152" s="603" customFormat="1" x14ac:dyDescent="0.25"/>
    <row r="153" s="603" customFormat="1" x14ac:dyDescent="0.25"/>
    <row r="154" s="603" customFormat="1" x14ac:dyDescent="0.25"/>
    <row r="155" s="603" customFormat="1" x14ac:dyDescent="0.25"/>
    <row r="156" s="603" customFormat="1" x14ac:dyDescent="0.25"/>
    <row r="157" s="603" customFormat="1" x14ac:dyDescent="0.25"/>
    <row r="158" s="603" customFormat="1" x14ac:dyDescent="0.25"/>
    <row r="159" s="603" customFormat="1" x14ac:dyDescent="0.25"/>
    <row r="160" s="603" customFormat="1" x14ac:dyDescent="0.25"/>
    <row r="161" s="603" customFormat="1" x14ac:dyDescent="0.25"/>
    <row r="162" s="603" customFormat="1" x14ac:dyDescent="0.25"/>
    <row r="163" s="603" customFormat="1" x14ac:dyDescent="0.25"/>
    <row r="164" s="603" customFormat="1" x14ac:dyDescent="0.25"/>
    <row r="165" s="603" customFormat="1" x14ac:dyDescent="0.25"/>
    <row r="166" s="603" customFormat="1" x14ac:dyDescent="0.25"/>
    <row r="167" s="603" customFormat="1" x14ac:dyDescent="0.25"/>
    <row r="168" s="603" customFormat="1" x14ac:dyDescent="0.25"/>
    <row r="169" s="603" customFormat="1" x14ac:dyDescent="0.25"/>
    <row r="170" s="603" customFormat="1" x14ac:dyDescent="0.25"/>
    <row r="171" s="603" customFormat="1" x14ac:dyDescent="0.25"/>
    <row r="172" s="603" customFormat="1" x14ac:dyDescent="0.25"/>
    <row r="173" s="603" customFormat="1" x14ac:dyDescent="0.25"/>
    <row r="174" s="603" customFormat="1" x14ac:dyDescent="0.25"/>
    <row r="175" s="603" customFormat="1" x14ac:dyDescent="0.25"/>
    <row r="176" s="603" customFormat="1" x14ac:dyDescent="0.25"/>
    <row r="177" spans="4:7" s="603" customFormat="1" x14ac:dyDescent="0.25">
      <c r="D177" s="605"/>
      <c r="E177" s="605"/>
      <c r="F177" s="605"/>
      <c r="G177" s="605"/>
    </row>
    <row r="178" spans="4:7" s="603" customFormat="1" x14ac:dyDescent="0.25">
      <c r="D178" s="605"/>
      <c r="E178" s="605"/>
      <c r="F178" s="605"/>
      <c r="G178" s="605"/>
    </row>
    <row r="179" spans="4:7" s="603" customFormat="1" x14ac:dyDescent="0.25">
      <c r="D179" s="605"/>
      <c r="E179" s="605"/>
      <c r="F179" s="605"/>
      <c r="G179" s="605"/>
    </row>
    <row r="180" spans="4:7" s="603" customFormat="1" x14ac:dyDescent="0.25">
      <c r="D180" s="605"/>
      <c r="E180" s="605"/>
      <c r="F180" s="605"/>
      <c r="G180" s="605"/>
    </row>
    <row r="181" spans="4:7" s="603" customFormat="1" x14ac:dyDescent="0.25">
      <c r="D181" s="605"/>
      <c r="E181" s="605"/>
      <c r="F181" s="605"/>
      <c r="G181" s="605"/>
    </row>
    <row r="182" spans="4:7" s="603" customFormat="1" x14ac:dyDescent="0.25">
      <c r="D182" s="605"/>
      <c r="E182" s="605"/>
      <c r="F182" s="605"/>
      <c r="G182" s="605"/>
    </row>
    <row r="183" spans="4:7" s="603" customFormat="1" x14ac:dyDescent="0.25">
      <c r="D183" s="605"/>
      <c r="E183" s="605"/>
      <c r="F183" s="605"/>
      <c r="G183" s="605"/>
    </row>
    <row r="184" spans="4:7" s="603" customFormat="1" x14ac:dyDescent="0.25">
      <c r="D184" s="605"/>
      <c r="E184" s="605"/>
      <c r="F184" s="605"/>
      <c r="G184" s="605"/>
    </row>
    <row r="185" spans="4:7" s="603" customFormat="1" x14ac:dyDescent="0.25">
      <c r="D185" s="605"/>
      <c r="E185" s="605"/>
      <c r="F185" s="605"/>
      <c r="G185" s="605"/>
    </row>
    <row r="186" spans="4:7" s="603" customFormat="1" x14ac:dyDescent="0.25">
      <c r="D186" s="605"/>
      <c r="E186" s="605"/>
      <c r="F186" s="605"/>
      <c r="G186" s="605"/>
    </row>
    <row r="187" spans="4:7" s="603" customFormat="1" x14ac:dyDescent="0.25">
      <c r="D187" s="605"/>
      <c r="E187" s="605"/>
      <c r="F187" s="605"/>
      <c r="G187" s="605"/>
    </row>
    <row r="188" spans="4:7" s="603" customFormat="1" x14ac:dyDescent="0.25">
      <c r="D188" s="605"/>
      <c r="E188" s="605"/>
      <c r="F188" s="605"/>
      <c r="G188" s="605"/>
    </row>
    <row r="189" spans="4:7" s="603" customFormat="1" x14ac:dyDescent="0.25">
      <c r="D189" s="605"/>
      <c r="E189" s="605"/>
      <c r="F189" s="605"/>
      <c r="G189" s="605"/>
    </row>
    <row r="190" spans="4:7" s="603" customFormat="1" x14ac:dyDescent="0.25">
      <c r="D190" s="605"/>
      <c r="E190" s="605"/>
      <c r="F190" s="605"/>
      <c r="G190" s="605"/>
    </row>
    <row r="191" spans="4:7" s="603" customFormat="1" x14ac:dyDescent="0.25">
      <c r="D191" s="605"/>
      <c r="E191" s="605"/>
      <c r="F191" s="605"/>
      <c r="G191" s="605"/>
    </row>
    <row r="192" spans="4:7" s="603" customFormat="1" x14ac:dyDescent="0.25">
      <c r="D192" s="605"/>
      <c r="E192" s="605"/>
      <c r="F192" s="605"/>
      <c r="G192" s="605"/>
    </row>
    <row r="193" spans="4:7" s="603" customFormat="1" x14ac:dyDescent="0.25">
      <c r="D193" s="605"/>
      <c r="E193" s="605"/>
      <c r="F193" s="605"/>
      <c r="G193" s="605"/>
    </row>
    <row r="194" spans="4:7" s="603" customFormat="1" x14ac:dyDescent="0.25">
      <c r="D194" s="605"/>
      <c r="E194" s="605"/>
      <c r="F194" s="605"/>
      <c r="G194" s="605"/>
    </row>
    <row r="195" spans="4:7" s="603" customFormat="1" x14ac:dyDescent="0.25">
      <c r="D195" s="605"/>
      <c r="E195" s="605"/>
      <c r="F195" s="605"/>
      <c r="G195" s="605"/>
    </row>
    <row r="196" spans="4:7" s="603" customFormat="1" x14ac:dyDescent="0.25">
      <c r="D196" s="605"/>
      <c r="E196" s="605"/>
      <c r="F196" s="605"/>
      <c r="G196" s="605"/>
    </row>
    <row r="197" spans="4:7" s="603" customFormat="1" x14ac:dyDescent="0.25">
      <c r="D197" s="605"/>
      <c r="E197" s="605"/>
      <c r="F197" s="605"/>
      <c r="G197" s="605"/>
    </row>
    <row r="198" spans="4:7" s="603" customFormat="1" x14ac:dyDescent="0.25">
      <c r="D198" s="605"/>
      <c r="E198" s="605"/>
      <c r="F198" s="605"/>
      <c r="G198" s="605"/>
    </row>
    <row r="199" spans="4:7" s="603" customFormat="1" x14ac:dyDescent="0.25">
      <c r="D199" s="605"/>
      <c r="E199" s="605"/>
      <c r="F199" s="605"/>
      <c r="G199" s="605"/>
    </row>
    <row r="200" spans="4:7" s="603" customFormat="1" x14ac:dyDescent="0.25">
      <c r="D200" s="605"/>
      <c r="E200" s="605"/>
      <c r="F200" s="605"/>
      <c r="G200" s="605"/>
    </row>
    <row r="201" spans="4:7" s="603" customFormat="1" x14ac:dyDescent="0.25">
      <c r="D201" s="605"/>
      <c r="E201" s="605"/>
      <c r="F201" s="605"/>
      <c r="G201" s="605"/>
    </row>
    <row r="202" spans="4:7" s="603" customFormat="1" x14ac:dyDescent="0.25">
      <c r="D202" s="605"/>
      <c r="E202" s="605"/>
      <c r="F202" s="605"/>
      <c r="G202" s="605"/>
    </row>
    <row r="203" spans="4:7" s="603" customFormat="1" x14ac:dyDescent="0.25">
      <c r="D203" s="605"/>
      <c r="E203" s="605"/>
      <c r="F203" s="605"/>
      <c r="G203" s="605"/>
    </row>
    <row r="204" spans="4:7" s="603" customFormat="1" x14ac:dyDescent="0.25">
      <c r="D204" s="605"/>
      <c r="E204" s="605"/>
      <c r="F204" s="605"/>
      <c r="G204" s="605"/>
    </row>
    <row r="205" spans="4:7" s="603" customFormat="1" x14ac:dyDescent="0.25">
      <c r="D205" s="605"/>
      <c r="E205" s="605"/>
      <c r="F205" s="605"/>
      <c r="G205" s="605"/>
    </row>
    <row r="206" spans="4:7" s="603" customFormat="1" x14ac:dyDescent="0.25">
      <c r="D206" s="605"/>
      <c r="E206" s="605"/>
      <c r="F206" s="605"/>
      <c r="G206" s="605"/>
    </row>
    <row r="207" spans="4:7" s="603" customFormat="1" x14ac:dyDescent="0.25">
      <c r="D207" s="605"/>
      <c r="E207" s="605"/>
      <c r="F207" s="605"/>
      <c r="G207" s="605"/>
    </row>
    <row r="208" spans="4:7" s="603" customFormat="1" x14ac:dyDescent="0.25">
      <c r="D208" s="605"/>
      <c r="E208" s="605"/>
      <c r="F208" s="605"/>
      <c r="G208" s="605"/>
    </row>
    <row r="209" s="603" customFormat="1" x14ac:dyDescent="0.25"/>
    <row r="210" s="603" customFormat="1" x14ac:dyDescent="0.25"/>
  </sheetData>
  <mergeCells count="12">
    <mergeCell ref="Y3:Y4"/>
    <mergeCell ref="Z3:Z4"/>
    <mergeCell ref="C3:C4"/>
    <mergeCell ref="B3:B4"/>
    <mergeCell ref="Y2:AT2"/>
    <mergeCell ref="D3:H3"/>
    <mergeCell ref="I3:M3"/>
    <mergeCell ref="N3:R3"/>
    <mergeCell ref="S3:W3"/>
    <mergeCell ref="AF3:AJ3"/>
    <mergeCell ref="AK3:AO3"/>
    <mergeCell ref="AP3:AT3"/>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N45"/>
  <sheetViews>
    <sheetView workbookViewId="0">
      <selection activeCell="B14" sqref="B14:D14"/>
    </sheetView>
  </sheetViews>
  <sheetFormatPr defaultRowHeight="12.75" x14ac:dyDescent="0.25"/>
  <cols>
    <col min="1" max="1" width="3.140625" style="391" customWidth="1"/>
    <col min="2" max="2" width="35.42578125" style="391" customWidth="1"/>
    <col min="3" max="3" width="14.140625" style="391" customWidth="1"/>
    <col min="4" max="4" width="11.7109375" style="391" customWidth="1"/>
    <col min="5" max="5" width="10" style="392" customWidth="1"/>
    <col min="6" max="6" width="13.7109375" style="391" customWidth="1"/>
    <col min="7" max="7" width="11.42578125" style="391" customWidth="1"/>
    <col min="8" max="9" width="8.7109375" style="391" customWidth="1"/>
    <col min="10" max="11" width="8.7109375" style="392" customWidth="1"/>
    <col min="12" max="12" width="9.7109375" style="392" bestFit="1" customWidth="1"/>
    <col min="13" max="13" width="13.85546875" style="440" customWidth="1"/>
    <col min="14" max="14" width="9.140625" style="440"/>
    <col min="15" max="16384" width="9.140625" style="391"/>
  </cols>
  <sheetData>
    <row r="2" spans="2:12" x14ac:dyDescent="0.25">
      <c r="B2" s="365" t="s">
        <v>415</v>
      </c>
    </row>
    <row r="3" spans="2:12" x14ac:dyDescent="0.25">
      <c r="B3" s="741" t="s">
        <v>270</v>
      </c>
      <c r="C3" s="742" t="s">
        <v>408</v>
      </c>
      <c r="D3" s="382"/>
      <c r="E3" s="1072"/>
      <c r="J3" s="384"/>
      <c r="K3" s="384"/>
      <c r="L3" s="384"/>
    </row>
    <row r="4" spans="2:12" x14ac:dyDescent="0.25">
      <c r="B4" s="383" t="s">
        <v>271</v>
      </c>
      <c r="C4" s="387">
        <v>0</v>
      </c>
      <c r="D4" s="743"/>
      <c r="L4" s="394"/>
    </row>
    <row r="5" spans="2:12" x14ac:dyDescent="0.25">
      <c r="B5" s="386" t="s">
        <v>272</v>
      </c>
      <c r="C5" s="388">
        <v>0.1</v>
      </c>
      <c r="D5" s="744"/>
      <c r="L5" s="394"/>
    </row>
    <row r="6" spans="2:12" x14ac:dyDescent="0.25">
      <c r="B6" s="383" t="s">
        <v>273</v>
      </c>
      <c r="C6" s="387">
        <v>1</v>
      </c>
      <c r="D6" s="743"/>
      <c r="L6" s="394"/>
    </row>
    <row r="7" spans="2:12" x14ac:dyDescent="0.25">
      <c r="B7" s="386" t="s">
        <v>274</v>
      </c>
      <c r="C7" s="388">
        <v>3.1</v>
      </c>
      <c r="D7" s="744"/>
    </row>
    <row r="8" spans="2:12" x14ac:dyDescent="0.25">
      <c r="B8" s="383" t="s">
        <v>275</v>
      </c>
      <c r="C8" s="387">
        <v>5.6</v>
      </c>
      <c r="D8" s="743"/>
    </row>
    <row r="9" spans="2:12" x14ac:dyDescent="0.25">
      <c r="B9" s="386" t="s">
        <v>276</v>
      </c>
      <c r="C9" s="388">
        <v>18.100000000000001</v>
      </c>
      <c r="D9" s="744"/>
    </row>
    <row r="10" spans="2:12" x14ac:dyDescent="0.25">
      <c r="B10" s="383" t="s">
        <v>277</v>
      </c>
      <c r="C10" s="387">
        <v>3.3</v>
      </c>
      <c r="D10" s="743"/>
      <c r="F10" s="395"/>
      <c r="G10" s="395"/>
      <c r="H10" s="395"/>
      <c r="I10" s="395"/>
    </row>
    <row r="11" spans="2:12" x14ac:dyDescent="0.25">
      <c r="B11" s="386" t="s">
        <v>278</v>
      </c>
      <c r="C11" s="387">
        <v>10.5</v>
      </c>
      <c r="D11" s="744"/>
    </row>
    <row r="12" spans="2:12" x14ac:dyDescent="0.25">
      <c r="B12" s="383" t="s">
        <v>279</v>
      </c>
      <c r="C12" s="387">
        <v>12.7</v>
      </c>
      <c r="D12" s="743"/>
    </row>
    <row r="13" spans="2:12" x14ac:dyDescent="0.25">
      <c r="B13" s="386" t="s">
        <v>280</v>
      </c>
      <c r="C13" s="387">
        <v>40.9</v>
      </c>
      <c r="D13" s="744"/>
    </row>
    <row r="14" spans="2:12" x14ac:dyDescent="0.25">
      <c r="B14" s="1287" t="s">
        <v>412</v>
      </c>
      <c r="C14" s="1287"/>
      <c r="D14" s="1211"/>
      <c r="E14" s="1071"/>
      <c r="F14" s="385"/>
      <c r="G14" s="385"/>
      <c r="H14" s="385"/>
    </row>
    <row r="15" spans="2:12" ht="15" x14ac:dyDescent="0.25">
      <c r="B15" s="376" t="s">
        <v>411</v>
      </c>
    </row>
    <row r="17" spans="2:13" x14ac:dyDescent="0.25">
      <c r="B17" s="365" t="s">
        <v>418</v>
      </c>
    </row>
    <row r="18" spans="2:13" ht="25.5" x14ac:dyDescent="0.25">
      <c r="B18" s="1288" t="s">
        <v>395</v>
      </c>
      <c r="C18" s="396" t="s">
        <v>414</v>
      </c>
      <c r="D18" s="1289" t="s">
        <v>409</v>
      </c>
      <c r="E18" s="1291" t="s">
        <v>323</v>
      </c>
      <c r="F18" s="396" t="s">
        <v>414</v>
      </c>
    </row>
    <row r="19" spans="2:13" x14ac:dyDescent="0.25">
      <c r="B19" s="1288"/>
      <c r="C19" s="1079" t="s">
        <v>408</v>
      </c>
      <c r="D19" s="1290"/>
      <c r="E19" s="1292"/>
      <c r="F19" s="1079" t="s">
        <v>410</v>
      </c>
    </row>
    <row r="20" spans="2:13" x14ac:dyDescent="0.25">
      <c r="B20" s="738" t="s">
        <v>407</v>
      </c>
      <c r="C20" s="735">
        <f>C5/100</f>
        <v>1E-3</v>
      </c>
      <c r="D20" s="441">
        <f>'[8]CPI Factors'!$C$70</f>
        <v>172.2</v>
      </c>
      <c r="E20" s="441">
        <f>'[8]CPI Factors'!$C$85</f>
        <v>237.017</v>
      </c>
      <c r="F20" s="739">
        <f>C20*E20/D20</f>
        <v>1.376405342624855E-3</v>
      </c>
      <c r="G20" s="748"/>
    </row>
    <row r="21" spans="2:13" x14ac:dyDescent="0.25">
      <c r="B21" s="738" t="s">
        <v>406</v>
      </c>
      <c r="C21" s="733">
        <f>AVERAGE(C7,C9,C11,C13)/100</f>
        <v>0.18149999999999999</v>
      </c>
      <c r="D21" s="441">
        <f>'[8]CPI Factors'!$C$70</f>
        <v>172.2</v>
      </c>
      <c r="E21" s="441">
        <f>'[8]CPI Factors'!$C$85</f>
        <v>237.017</v>
      </c>
      <c r="F21" s="732">
        <f>C21*E21/D21</f>
        <v>0.24981756968641117</v>
      </c>
      <c r="G21" s="748"/>
    </row>
    <row r="22" spans="2:13" x14ac:dyDescent="0.2">
      <c r="B22" s="728" t="s">
        <v>413</v>
      </c>
    </row>
    <row r="26" spans="2:13" x14ac:dyDescent="0.2">
      <c r="B26" s="727" t="s">
        <v>416</v>
      </c>
      <c r="C26" s="728"/>
      <c r="D26" s="728"/>
      <c r="E26" s="728"/>
      <c r="F26" s="728"/>
      <c r="G26" s="728"/>
      <c r="H26" s="728"/>
      <c r="I26" s="728"/>
      <c r="J26" s="728"/>
      <c r="K26" s="728"/>
    </row>
    <row r="27" spans="2:13" x14ac:dyDescent="0.2">
      <c r="B27" s="1284" t="s">
        <v>395</v>
      </c>
      <c r="C27" s="1293" t="s">
        <v>396</v>
      </c>
      <c r="D27" s="1293"/>
      <c r="E27" s="1293"/>
      <c r="I27" s="1280"/>
      <c r="J27" s="1280"/>
      <c r="K27" s="1280"/>
      <c r="M27" s="391"/>
    </row>
    <row r="28" spans="2:13" x14ac:dyDescent="0.2">
      <c r="B28" s="1286"/>
      <c r="C28" s="1080" t="s">
        <v>397</v>
      </c>
      <c r="D28" s="1080" t="s">
        <v>398</v>
      </c>
      <c r="E28" s="1080" t="s">
        <v>399</v>
      </c>
      <c r="I28" s="1076"/>
      <c r="J28" s="1076"/>
      <c r="K28" s="1076"/>
      <c r="M28" s="391"/>
    </row>
    <row r="29" spans="2:13" x14ac:dyDescent="0.2">
      <c r="B29" s="383" t="s">
        <v>400</v>
      </c>
      <c r="C29" s="729">
        <v>0.3</v>
      </c>
      <c r="D29" s="729">
        <v>0.11</v>
      </c>
      <c r="E29" s="729">
        <v>0.03</v>
      </c>
      <c r="I29" s="745"/>
      <c r="J29" s="745"/>
      <c r="K29" s="745"/>
    </row>
    <row r="30" spans="2:13" x14ac:dyDescent="0.2">
      <c r="B30" s="383" t="s">
        <v>401</v>
      </c>
      <c r="C30" s="729">
        <v>0.27</v>
      </c>
      <c r="D30" s="729">
        <v>0.1</v>
      </c>
      <c r="E30" s="729">
        <v>0.03</v>
      </c>
      <c r="I30" s="745"/>
      <c r="J30" s="745"/>
      <c r="K30" s="745"/>
    </row>
    <row r="31" spans="2:13" x14ac:dyDescent="0.2">
      <c r="B31" s="383" t="s">
        <v>372</v>
      </c>
      <c r="C31" s="729">
        <v>4.55</v>
      </c>
      <c r="D31" s="729">
        <v>1.72</v>
      </c>
      <c r="E31" s="729">
        <v>0.48</v>
      </c>
      <c r="I31" s="745"/>
      <c r="J31" s="745"/>
      <c r="K31" s="745"/>
    </row>
    <row r="32" spans="2:13" x14ac:dyDescent="0.2">
      <c r="B32" s="383" t="s">
        <v>402</v>
      </c>
      <c r="C32" s="729">
        <v>3.14</v>
      </c>
      <c r="D32" s="729">
        <v>1.19</v>
      </c>
      <c r="E32" s="729">
        <v>0.33</v>
      </c>
      <c r="I32" s="745"/>
      <c r="J32" s="745"/>
      <c r="K32" s="745"/>
    </row>
    <row r="33" spans="2:11" x14ac:dyDescent="0.2">
      <c r="B33" s="383" t="s">
        <v>403</v>
      </c>
      <c r="C33" s="729">
        <v>9.86</v>
      </c>
      <c r="D33" s="729">
        <v>3.73</v>
      </c>
      <c r="E33" s="729">
        <v>1.05</v>
      </c>
      <c r="I33" s="745"/>
      <c r="J33" s="745"/>
      <c r="K33" s="745"/>
    </row>
    <row r="34" spans="2:11" x14ac:dyDescent="0.2">
      <c r="B34" s="383" t="s">
        <v>404</v>
      </c>
      <c r="C34" s="730">
        <v>0.64</v>
      </c>
      <c r="D34" s="730">
        <v>0.24</v>
      </c>
      <c r="E34" s="730">
        <v>7.0000000000000007E-2</v>
      </c>
      <c r="I34" s="746"/>
      <c r="J34" s="746"/>
      <c r="K34" s="746"/>
    </row>
    <row r="35" spans="2:11" ht="12.75" customHeight="1" x14ac:dyDescent="0.2">
      <c r="B35" s="391" t="s">
        <v>412</v>
      </c>
      <c r="C35" s="728"/>
      <c r="D35" s="728"/>
      <c r="E35" s="728"/>
      <c r="F35" s="728"/>
      <c r="G35" s="728"/>
      <c r="H35" s="728"/>
      <c r="I35" s="747"/>
      <c r="J35" s="747"/>
      <c r="K35" s="747"/>
    </row>
    <row r="36" spans="2:11" ht="12.75" customHeight="1" x14ac:dyDescent="0.2">
      <c r="B36" s="391" t="s">
        <v>411</v>
      </c>
      <c r="C36" s="728"/>
      <c r="D36" s="728"/>
      <c r="E36" s="728"/>
      <c r="F36" s="728"/>
      <c r="G36" s="728"/>
      <c r="H36" s="728"/>
      <c r="I36" s="728"/>
      <c r="J36" s="728"/>
      <c r="K36" s="728"/>
    </row>
    <row r="37" spans="2:11" x14ac:dyDescent="0.2">
      <c r="C37" s="728"/>
      <c r="D37" s="728"/>
      <c r="E37" s="728"/>
      <c r="F37" s="728"/>
      <c r="G37" s="728"/>
      <c r="H37" s="728"/>
      <c r="I37" s="728"/>
      <c r="J37" s="728"/>
      <c r="K37" s="728"/>
    </row>
    <row r="38" spans="2:11" x14ac:dyDescent="0.2">
      <c r="B38" s="728"/>
      <c r="C38" s="728"/>
      <c r="D38" s="728"/>
      <c r="E38" s="728"/>
      <c r="F38" s="728"/>
      <c r="G38" s="728"/>
      <c r="H38" s="728"/>
      <c r="I38" s="728"/>
      <c r="J38" s="728"/>
      <c r="K38" s="728"/>
    </row>
    <row r="39" spans="2:11" x14ac:dyDescent="0.25">
      <c r="B39" s="365" t="s">
        <v>417</v>
      </c>
    </row>
    <row r="40" spans="2:11" x14ac:dyDescent="0.25">
      <c r="B40" s="1281" t="s">
        <v>395</v>
      </c>
      <c r="C40" s="1077" t="s">
        <v>396</v>
      </c>
      <c r="D40" s="1281" t="s">
        <v>409</v>
      </c>
      <c r="E40" s="1284" t="s">
        <v>323</v>
      </c>
      <c r="F40" s="736" t="s">
        <v>396</v>
      </c>
    </row>
    <row r="41" spans="2:11" x14ac:dyDescent="0.25">
      <c r="B41" s="1282"/>
      <c r="C41" s="1078" t="s">
        <v>405</v>
      </c>
      <c r="D41" s="1282"/>
      <c r="E41" s="1285"/>
      <c r="F41" s="737" t="s">
        <v>405</v>
      </c>
    </row>
    <row r="42" spans="2:11" x14ac:dyDescent="0.25">
      <c r="B42" s="1283"/>
      <c r="C42" s="1079" t="s">
        <v>408</v>
      </c>
      <c r="D42" s="1283"/>
      <c r="E42" s="1286"/>
      <c r="F42" s="731" t="s">
        <v>410</v>
      </c>
    </row>
    <row r="43" spans="2:11" x14ac:dyDescent="0.25">
      <c r="B43" s="393" t="s">
        <v>407</v>
      </c>
      <c r="C43" s="732">
        <f>AVERAGE(D29:D31)/100</f>
        <v>6.4333333333333334E-3</v>
      </c>
      <c r="D43" s="441">
        <f>'[8]CPI Factors'!$C$70</f>
        <v>172.2</v>
      </c>
      <c r="E43" s="441">
        <f>'[8]CPI Factors'!$C$85</f>
        <v>237.017</v>
      </c>
      <c r="F43" s="732">
        <f>C43*E43/D43</f>
        <v>8.8548743708865667E-3</v>
      </c>
      <c r="G43" s="734"/>
    </row>
    <row r="44" spans="2:11" x14ac:dyDescent="0.25">
      <c r="B44" s="393" t="s">
        <v>406</v>
      </c>
      <c r="C44" s="732">
        <f>AVERAGE(D32:D33)/100</f>
        <v>2.46E-2</v>
      </c>
      <c r="D44" s="441">
        <f>'[8]CPI Factors'!$C$70</f>
        <v>172.2</v>
      </c>
      <c r="E44" s="441">
        <f>'[8]CPI Factors'!$C$85</f>
        <v>237.017</v>
      </c>
      <c r="F44" s="732">
        <f>C44*E44/D44</f>
        <v>3.3859571428571433E-2</v>
      </c>
      <c r="G44" s="734"/>
    </row>
    <row r="45" spans="2:11" x14ac:dyDescent="0.2">
      <c r="B45" s="728" t="s">
        <v>413</v>
      </c>
    </row>
  </sheetData>
  <mergeCells count="10">
    <mergeCell ref="I27:K27"/>
    <mergeCell ref="B40:B42"/>
    <mergeCell ref="D40:D42"/>
    <mergeCell ref="E40:E42"/>
    <mergeCell ref="B14:D14"/>
    <mergeCell ref="B18:B19"/>
    <mergeCell ref="D18:D19"/>
    <mergeCell ref="E18:E19"/>
    <mergeCell ref="B27:B28"/>
    <mergeCell ref="C27:E27"/>
  </mergeCells>
  <hyperlinks>
    <hyperlink ref="B15" r:id="rId1"/>
  </hyperlinks>
  <pageMargins left="0.7" right="0.7" top="0.75" bottom="0.75" header="0.3" footer="0.3"/>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R54"/>
  <sheetViews>
    <sheetView workbookViewId="0">
      <selection activeCell="F30" sqref="F30"/>
    </sheetView>
  </sheetViews>
  <sheetFormatPr defaultRowHeight="15" x14ac:dyDescent="0.25"/>
  <cols>
    <col min="6" max="6" width="11.85546875" bestFit="1" customWidth="1"/>
    <col min="16" max="18" width="13.7109375" customWidth="1"/>
  </cols>
  <sheetData>
    <row r="1" spans="2:18" s="928" customFormat="1" ht="15.75" x14ac:dyDescent="0.25">
      <c r="B1" s="535" t="s">
        <v>678</v>
      </c>
    </row>
    <row r="3" spans="2:18" x14ac:dyDescent="0.25">
      <c r="B3" s="1294" t="s">
        <v>680</v>
      </c>
      <c r="C3" s="1294"/>
      <c r="D3" s="1294"/>
      <c r="E3" s="1294"/>
      <c r="F3" s="1046"/>
      <c r="G3" s="1295" t="s">
        <v>681</v>
      </c>
      <c r="H3" s="1295"/>
      <c r="I3" s="1295"/>
      <c r="J3" s="1295"/>
      <c r="L3" s="1294" t="s">
        <v>679</v>
      </c>
      <c r="M3" s="1294"/>
      <c r="N3" s="1294"/>
      <c r="P3" s="1294" t="s">
        <v>609</v>
      </c>
      <c r="Q3" s="1294"/>
      <c r="R3" s="1294"/>
    </row>
    <row r="4" spans="2:18" ht="30" x14ac:dyDescent="0.25">
      <c r="B4" s="259"/>
      <c r="C4" s="1047"/>
      <c r="D4" s="1048" t="s">
        <v>570</v>
      </c>
      <c r="E4" s="901">
        <v>695</v>
      </c>
      <c r="F4" s="1046"/>
      <c r="G4" s="1046"/>
      <c r="H4" s="901"/>
      <c r="I4" s="1048" t="s">
        <v>579</v>
      </c>
      <c r="J4" s="901">
        <v>4.28</v>
      </c>
      <c r="L4" s="1054" t="s">
        <v>583</v>
      </c>
      <c r="M4" s="1054" t="s">
        <v>733</v>
      </c>
      <c r="N4" s="1046" t="s">
        <v>569</v>
      </c>
      <c r="P4" s="1054" t="s">
        <v>583</v>
      </c>
      <c r="Q4" s="1046" t="s">
        <v>569</v>
      </c>
      <c r="R4" s="1046" t="s">
        <v>582</v>
      </c>
    </row>
    <row r="5" spans="2:18" x14ac:dyDescent="0.25">
      <c r="B5" s="1048" t="s">
        <v>571</v>
      </c>
      <c r="C5" s="1049">
        <v>10</v>
      </c>
      <c r="D5" s="1048" t="s">
        <v>572</v>
      </c>
      <c r="E5" s="901">
        <f>C5^(-1.074)</f>
        <v>8.4333475776427483E-2</v>
      </c>
      <c r="F5" s="1046"/>
      <c r="G5" s="1053" t="s">
        <v>571</v>
      </c>
      <c r="H5" s="901">
        <v>10</v>
      </c>
      <c r="I5" s="1048" t="s">
        <v>572</v>
      </c>
      <c r="J5" s="901">
        <f>H5^(-0.2334)</f>
        <v>0.58425172053602981</v>
      </c>
      <c r="L5" s="1046" t="s">
        <v>584</v>
      </c>
      <c r="M5" s="1046">
        <v>200</v>
      </c>
      <c r="N5" s="1046">
        <v>8.0299999999999994</v>
      </c>
      <c r="P5" s="1046" t="s">
        <v>596</v>
      </c>
      <c r="Q5" s="1055">
        <v>21</v>
      </c>
      <c r="R5" s="1056">
        <v>5.8999999999999999E-3</v>
      </c>
    </row>
    <row r="6" spans="2:18" x14ac:dyDescent="0.25">
      <c r="B6" s="1050" t="s">
        <v>573</v>
      </c>
      <c r="C6" s="1049">
        <v>2</v>
      </c>
      <c r="D6" s="1048" t="s">
        <v>574</v>
      </c>
      <c r="E6" s="901">
        <f>(C6+1)^(-0.1025)</f>
        <v>0.8935010586142208</v>
      </c>
      <c r="F6" s="1046"/>
      <c r="G6" s="1048" t="s">
        <v>580</v>
      </c>
      <c r="H6" s="901">
        <v>1</v>
      </c>
      <c r="I6" s="1048" t="s">
        <v>581</v>
      </c>
      <c r="J6" s="901">
        <f>EXP(H6*0.1176)</f>
        <v>1.1247941037303228</v>
      </c>
      <c r="L6" s="1046" t="s">
        <v>585</v>
      </c>
      <c r="M6" s="1046">
        <f>M5+100</f>
        <v>300</v>
      </c>
      <c r="N6" s="1046">
        <v>9.23</v>
      </c>
    </row>
    <row r="7" spans="2:18" x14ac:dyDescent="0.25">
      <c r="B7" s="1051" t="s">
        <v>575</v>
      </c>
      <c r="C7" s="1049">
        <v>0</v>
      </c>
      <c r="D7" s="1048" t="s">
        <v>576</v>
      </c>
      <c r="E7" s="901">
        <f>(C7+1)^(0.1025)</f>
        <v>1</v>
      </c>
      <c r="F7" s="1046"/>
      <c r="G7" s="1053" t="s">
        <v>577</v>
      </c>
      <c r="H7" s="901">
        <v>1</v>
      </c>
      <c r="I7" s="1048" t="s">
        <v>578</v>
      </c>
      <c r="J7" s="901">
        <f>EXP(H7*0.1884)</f>
        <v>1.2073163453153006</v>
      </c>
      <c r="L7" s="1046" t="s">
        <v>586</v>
      </c>
      <c r="M7" s="1046">
        <f>M6+100</f>
        <v>400</v>
      </c>
      <c r="N7" s="1046">
        <v>10.25</v>
      </c>
    </row>
    <row r="8" spans="2:18" x14ac:dyDescent="0.25">
      <c r="B8" s="1051" t="s">
        <v>577</v>
      </c>
      <c r="C8" s="1052">
        <v>1</v>
      </c>
      <c r="D8" s="1048" t="s">
        <v>578</v>
      </c>
      <c r="E8" s="901">
        <f>EXP(C8*0.188)</f>
        <v>1.2068335153496053</v>
      </c>
      <c r="F8" s="1046"/>
      <c r="G8" s="1046"/>
      <c r="H8" s="391"/>
      <c r="L8" s="1046" t="s">
        <v>587</v>
      </c>
      <c r="M8" s="1046">
        <f>M7+100</f>
        <v>500</v>
      </c>
      <c r="N8" s="1046">
        <v>11.08</v>
      </c>
    </row>
    <row r="9" spans="2:18" x14ac:dyDescent="0.25">
      <c r="B9" s="1046"/>
      <c r="C9" s="1046"/>
      <c r="D9" s="1046"/>
      <c r="E9" s="901"/>
      <c r="F9" s="1046"/>
      <c r="G9" s="1046"/>
      <c r="H9" s="391"/>
      <c r="L9" s="1046" t="s">
        <v>588</v>
      </c>
      <c r="M9" s="1046">
        <f>M8+100</f>
        <v>600</v>
      </c>
      <c r="N9" s="1046">
        <v>11.8</v>
      </c>
    </row>
    <row r="10" spans="2:18" x14ac:dyDescent="0.25">
      <c r="F10" s="1046"/>
      <c r="G10" s="1046"/>
      <c r="H10" s="391"/>
      <c r="L10" s="1046" t="s">
        <v>589</v>
      </c>
      <c r="M10" s="1046">
        <f>M9+100</f>
        <v>700</v>
      </c>
      <c r="N10" s="1046">
        <v>12.43</v>
      </c>
    </row>
    <row r="11" spans="2:18" x14ac:dyDescent="0.25">
      <c r="B11" s="1053" t="s">
        <v>218</v>
      </c>
      <c r="C11" s="1046"/>
      <c r="F11" s="1046"/>
      <c r="G11" s="1046"/>
      <c r="H11" s="391"/>
      <c r="L11" s="1046" t="s">
        <v>590</v>
      </c>
      <c r="M11" s="1046">
        <f>M10+300</f>
        <v>1000</v>
      </c>
      <c r="N11" s="1046">
        <v>13.51</v>
      </c>
    </row>
    <row r="12" spans="2:18" x14ac:dyDescent="0.25">
      <c r="B12" s="1046">
        <v>0</v>
      </c>
      <c r="C12" s="901">
        <v>0.43675999999999998</v>
      </c>
      <c r="F12" s="1046"/>
      <c r="G12" s="1046"/>
      <c r="H12" s="391"/>
      <c r="L12" s="1046" t="s">
        <v>591</v>
      </c>
      <c r="M12" s="1046">
        <f>M11+300</f>
        <v>1300</v>
      </c>
      <c r="N12" s="1046">
        <v>14.84</v>
      </c>
    </row>
    <row r="13" spans="2:18" x14ac:dyDescent="0.25">
      <c r="B13" s="1046">
        <v>1</v>
      </c>
      <c r="C13" s="901">
        <v>0.41738999999999998</v>
      </c>
      <c r="F13" s="1046"/>
      <c r="G13" s="1046"/>
      <c r="H13" s="391"/>
      <c r="L13" s="1046" t="s">
        <v>592</v>
      </c>
      <c r="M13" s="1046">
        <f>M12+300</f>
        <v>1600</v>
      </c>
      <c r="N13" s="1046">
        <v>15.96</v>
      </c>
    </row>
    <row r="14" spans="2:18" x14ac:dyDescent="0.25">
      <c r="B14" s="1046">
        <v>2</v>
      </c>
      <c r="C14" s="901">
        <v>8.8719999999999993E-2</v>
      </c>
      <c r="F14" s="1046"/>
      <c r="G14" s="1046"/>
      <c r="H14" s="391"/>
      <c r="L14" s="1046" t="s">
        <v>593</v>
      </c>
      <c r="M14" s="1046">
        <f>M13+400</f>
        <v>2000</v>
      </c>
      <c r="N14" s="1046">
        <v>17.07</v>
      </c>
    </row>
    <row r="15" spans="2:18" x14ac:dyDescent="0.25">
      <c r="B15" s="1046">
        <v>3</v>
      </c>
      <c r="C15" s="901">
        <v>4.8169999999999998E-2</v>
      </c>
      <c r="D15" s="1046"/>
      <c r="E15" s="1046"/>
      <c r="F15" s="1046"/>
      <c r="G15" s="1046"/>
      <c r="H15" s="391"/>
      <c r="L15" s="1046" t="s">
        <v>594</v>
      </c>
      <c r="M15" s="1046">
        <f>M14+500</f>
        <v>2500</v>
      </c>
      <c r="N15" s="1046">
        <v>18.3</v>
      </c>
    </row>
    <row r="16" spans="2:18" x14ac:dyDescent="0.25">
      <c r="B16" s="1046">
        <v>4</v>
      </c>
      <c r="C16" s="901">
        <v>6.1700000000000001E-3</v>
      </c>
      <c r="D16" s="1046"/>
      <c r="E16" s="1046"/>
      <c r="F16" s="1046"/>
      <c r="G16" s="1046"/>
      <c r="H16" s="391"/>
      <c r="L16" s="1046" t="s">
        <v>595</v>
      </c>
      <c r="M16" s="1046">
        <f>M15+500</f>
        <v>3000</v>
      </c>
      <c r="N16" s="1046">
        <v>19.48</v>
      </c>
    </row>
    <row r="17" spans="2:14" x14ac:dyDescent="0.25">
      <c r="B17" s="1046">
        <v>5</v>
      </c>
      <c r="C17" s="901">
        <v>2.7899999999999999E-3</v>
      </c>
      <c r="D17" s="1046"/>
      <c r="E17" s="1046"/>
      <c r="F17" s="1046"/>
      <c r="G17" s="1046"/>
      <c r="H17" s="391"/>
      <c r="L17" s="1046" t="s">
        <v>596</v>
      </c>
      <c r="M17" s="1046">
        <f>M16+1000</f>
        <v>4000</v>
      </c>
      <c r="N17" s="1046">
        <v>21</v>
      </c>
    </row>
    <row r="18" spans="2:14" x14ac:dyDescent="0.25">
      <c r="D18" s="1046"/>
      <c r="E18" s="1046"/>
      <c r="F18" s="1046"/>
      <c r="G18" s="1046"/>
      <c r="H18" s="391"/>
      <c r="L18" s="1046" t="s">
        <v>597</v>
      </c>
      <c r="M18" s="1046">
        <f>M17+2000</f>
        <v>6000</v>
      </c>
      <c r="N18" s="1046">
        <v>23.46</v>
      </c>
    </row>
    <row r="19" spans="2:14" x14ac:dyDescent="0.25">
      <c r="D19" s="1046"/>
      <c r="E19" s="1046"/>
      <c r="F19" s="1046"/>
      <c r="G19" s="1046"/>
      <c r="H19" s="391"/>
      <c r="L19" s="1046" t="s">
        <v>598</v>
      </c>
      <c r="M19" s="1046">
        <f>M18+2000</f>
        <v>8000</v>
      </c>
      <c r="N19" s="1046">
        <v>26.06</v>
      </c>
    </row>
    <row r="20" spans="2:14" x14ac:dyDescent="0.25">
      <c r="B20" s="1159" t="s">
        <v>719</v>
      </c>
      <c r="D20" s="1046"/>
      <c r="E20" s="1046"/>
      <c r="F20" s="1046"/>
      <c r="G20" s="1046"/>
      <c r="H20" s="391"/>
      <c r="L20" s="1046" t="s">
        <v>599</v>
      </c>
      <c r="M20" s="1046">
        <f>M19+2000</f>
        <v>10000</v>
      </c>
      <c r="N20" s="1046">
        <v>28.18</v>
      </c>
    </row>
    <row r="21" spans="2:14" x14ac:dyDescent="0.25">
      <c r="B21" t="s">
        <v>720</v>
      </c>
      <c r="C21" s="943" t="s">
        <v>727</v>
      </c>
      <c r="D21" s="1046"/>
      <c r="E21" s="1046"/>
      <c r="F21" s="1046"/>
      <c r="G21" s="1046"/>
      <c r="H21" s="391"/>
      <c r="L21" s="1046" t="s">
        <v>600</v>
      </c>
      <c r="M21" s="1046">
        <f>M20+5000</f>
        <v>15000</v>
      </c>
      <c r="N21" s="1046">
        <v>31.22</v>
      </c>
    </row>
    <row r="22" spans="2:14" x14ac:dyDescent="0.25">
      <c r="B22" t="s">
        <v>569</v>
      </c>
      <c r="C22" t="s">
        <v>726</v>
      </c>
      <c r="D22" s="1046"/>
      <c r="E22" s="1046"/>
      <c r="F22" s="1046"/>
      <c r="G22" s="1046"/>
      <c r="H22" s="391"/>
      <c r="L22" s="1046" t="s">
        <v>601</v>
      </c>
      <c r="M22" s="1046">
        <f>M21+5000</f>
        <v>20000</v>
      </c>
      <c r="N22" s="1046">
        <v>34.67</v>
      </c>
    </row>
    <row r="23" spans="2:14" x14ac:dyDescent="0.25">
      <c r="B23" t="s">
        <v>721</v>
      </c>
      <c r="C23" s="1046" t="s">
        <v>728</v>
      </c>
      <c r="D23" s="1046"/>
      <c r="E23" s="1046"/>
      <c r="F23" s="1046"/>
      <c r="G23" s="1046"/>
      <c r="H23" s="391"/>
      <c r="L23" s="1046" t="s">
        <v>602</v>
      </c>
      <c r="M23" s="1046">
        <f>M22+5000</f>
        <v>25000</v>
      </c>
      <c r="N23" s="1046">
        <v>37.49</v>
      </c>
    </row>
    <row r="24" spans="2:14" x14ac:dyDescent="0.25">
      <c r="B24" s="1046" t="s">
        <v>722</v>
      </c>
      <c r="C24" s="1046" t="s">
        <v>729</v>
      </c>
      <c r="H24" s="391"/>
      <c r="L24" s="1046" t="s">
        <v>603</v>
      </c>
      <c r="M24" s="1046">
        <f>M23+5000</f>
        <v>30000</v>
      </c>
      <c r="N24" s="1046">
        <v>39.909999999999997</v>
      </c>
    </row>
    <row r="25" spans="2:14" x14ac:dyDescent="0.25">
      <c r="B25" s="1046" t="s">
        <v>723</v>
      </c>
      <c r="C25" s="1046" t="s">
        <v>730</v>
      </c>
      <c r="D25" s="1046"/>
      <c r="H25" s="391"/>
      <c r="L25" s="1046" t="s">
        <v>604</v>
      </c>
      <c r="M25" s="1046">
        <f>M24+10000</f>
        <v>40000</v>
      </c>
      <c r="N25" s="1046">
        <v>43.03</v>
      </c>
    </row>
    <row r="26" spans="2:14" x14ac:dyDescent="0.25">
      <c r="B26" s="1046" t="s">
        <v>724</v>
      </c>
      <c r="C26" s="1046" t="s">
        <v>731</v>
      </c>
      <c r="H26" s="391"/>
      <c r="L26" s="1046" t="s">
        <v>605</v>
      </c>
      <c r="M26" s="1046">
        <f>M25+10000</f>
        <v>50000</v>
      </c>
      <c r="N26" s="1046">
        <v>46.53</v>
      </c>
    </row>
    <row r="27" spans="2:14" x14ac:dyDescent="0.25">
      <c r="B27" s="1046" t="s">
        <v>725</v>
      </c>
      <c r="C27" s="1046" t="s">
        <v>732</v>
      </c>
      <c r="H27" s="391"/>
      <c r="L27" s="1046" t="s">
        <v>606</v>
      </c>
      <c r="M27" s="1046">
        <f>M26+10000</f>
        <v>60000</v>
      </c>
      <c r="N27" s="1046">
        <v>49.53</v>
      </c>
    </row>
    <row r="28" spans="2:14" x14ac:dyDescent="0.25">
      <c r="C28" s="1046"/>
      <c r="H28" s="391"/>
      <c r="L28" s="1046" t="s">
        <v>607</v>
      </c>
      <c r="M28" s="1046">
        <f>M27+10000</f>
        <v>70000</v>
      </c>
      <c r="N28" s="1046">
        <v>52.18</v>
      </c>
    </row>
    <row r="29" spans="2:14" x14ac:dyDescent="0.25">
      <c r="H29" s="391"/>
      <c r="L29" s="1046" t="s">
        <v>608</v>
      </c>
      <c r="M29" s="1046">
        <f>M28+20000</f>
        <v>90000</v>
      </c>
      <c r="N29" s="1046">
        <v>55.67</v>
      </c>
    </row>
    <row r="30" spans="2:14" x14ac:dyDescent="0.25">
      <c r="B30" s="1046"/>
      <c r="C30" s="1046"/>
      <c r="H30" s="391"/>
    </row>
    <row r="31" spans="2:14" x14ac:dyDescent="0.25">
      <c r="B31" s="1046"/>
      <c r="C31" s="1046"/>
      <c r="H31" s="391"/>
    </row>
    <row r="32" spans="2:14" x14ac:dyDescent="0.25">
      <c r="B32" s="1046"/>
      <c r="C32" s="1046"/>
      <c r="H32" s="391"/>
    </row>
    <row r="33" spans="2:8" x14ac:dyDescent="0.25">
      <c r="B33" s="1046"/>
      <c r="C33" s="1046"/>
      <c r="H33" s="391"/>
    </row>
    <row r="34" spans="2:8" x14ac:dyDescent="0.25">
      <c r="B34" s="1046"/>
      <c r="C34" s="1046"/>
      <c r="H34" s="391"/>
    </row>
    <row r="35" spans="2:8" x14ac:dyDescent="0.25">
      <c r="B35" s="1046"/>
      <c r="C35" s="1046"/>
      <c r="H35" s="391"/>
    </row>
    <row r="36" spans="2:8" x14ac:dyDescent="0.25">
      <c r="B36" s="1046"/>
      <c r="C36" s="1046"/>
      <c r="H36" s="391"/>
    </row>
    <row r="37" spans="2:8" x14ac:dyDescent="0.25">
      <c r="B37" s="1046"/>
      <c r="C37" s="1046"/>
      <c r="H37" s="391"/>
    </row>
    <row r="38" spans="2:8" x14ac:dyDescent="0.25">
      <c r="B38" s="1046"/>
      <c r="C38" s="1046"/>
      <c r="H38" s="391"/>
    </row>
    <row r="39" spans="2:8" x14ac:dyDescent="0.25">
      <c r="B39" s="1046"/>
      <c r="C39" s="1046"/>
      <c r="H39" s="391"/>
    </row>
    <row r="40" spans="2:8" x14ac:dyDescent="0.25">
      <c r="B40" s="1046"/>
      <c r="C40" s="1046"/>
      <c r="H40" s="391"/>
    </row>
    <row r="41" spans="2:8" x14ac:dyDescent="0.25">
      <c r="B41" s="1046"/>
      <c r="C41" s="1046"/>
      <c r="H41" s="391"/>
    </row>
    <row r="42" spans="2:8" x14ac:dyDescent="0.25">
      <c r="B42" s="1046"/>
      <c r="C42" s="1046"/>
      <c r="H42" s="391"/>
    </row>
    <row r="43" spans="2:8" x14ac:dyDescent="0.25">
      <c r="B43" s="1046"/>
      <c r="C43" s="1046"/>
      <c r="H43" s="391"/>
    </row>
    <row r="44" spans="2:8" x14ac:dyDescent="0.25">
      <c r="B44" s="1046"/>
      <c r="C44" s="1046"/>
      <c r="H44" s="391"/>
    </row>
    <row r="45" spans="2:8" x14ac:dyDescent="0.25">
      <c r="B45" s="1046"/>
      <c r="C45" s="1046"/>
      <c r="H45" s="391"/>
    </row>
    <row r="46" spans="2:8" x14ac:dyDescent="0.25">
      <c r="B46" s="1046"/>
      <c r="C46" s="1046"/>
      <c r="H46" s="391"/>
    </row>
    <row r="47" spans="2:8" x14ac:dyDescent="0.25">
      <c r="B47" s="1046"/>
      <c r="C47" s="1046"/>
      <c r="H47" s="391"/>
    </row>
    <row r="48" spans="2:8" x14ac:dyDescent="0.25">
      <c r="B48" s="1046"/>
      <c r="C48" s="1046"/>
      <c r="H48" s="391"/>
    </row>
    <row r="49" spans="2:8" x14ac:dyDescent="0.25">
      <c r="B49" s="1046"/>
      <c r="C49" s="1046"/>
      <c r="H49" s="391"/>
    </row>
    <row r="50" spans="2:8" x14ac:dyDescent="0.25">
      <c r="B50" s="1046"/>
      <c r="C50" s="1046"/>
      <c r="H50" s="391"/>
    </row>
    <row r="51" spans="2:8" x14ac:dyDescent="0.25">
      <c r="B51" s="1046"/>
      <c r="C51" s="1046"/>
      <c r="E51" s="1046"/>
      <c r="F51" s="1046" t="s">
        <v>475</v>
      </c>
      <c r="G51" s="1046"/>
      <c r="H51" s="391"/>
    </row>
    <row r="52" spans="2:8" x14ac:dyDescent="0.25">
      <c r="B52" s="1046"/>
      <c r="C52" s="1046"/>
      <c r="D52" s="1046"/>
      <c r="H52" s="391"/>
    </row>
    <row r="53" spans="2:8" x14ac:dyDescent="0.25">
      <c r="B53" s="1046"/>
      <c r="C53" s="1046"/>
      <c r="D53" s="1046"/>
      <c r="H53" s="391"/>
    </row>
    <row r="54" spans="2:8" x14ac:dyDescent="0.25">
      <c r="B54" s="1046"/>
      <c r="C54" s="1046"/>
      <c r="D54" s="1046"/>
      <c r="H54" s="391"/>
    </row>
  </sheetData>
  <mergeCells count="4">
    <mergeCell ref="L3:N3"/>
    <mergeCell ref="G3:J3"/>
    <mergeCell ref="B3:E3"/>
    <mergeCell ref="P3:R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A1:AV97"/>
  <sheetViews>
    <sheetView showGridLines="0" zoomScale="81" zoomScaleNormal="81" workbookViewId="0">
      <selection activeCell="G24" sqref="G24"/>
    </sheetView>
  </sheetViews>
  <sheetFormatPr defaultColWidth="12.5703125" defaultRowHeight="12.75" x14ac:dyDescent="0.25"/>
  <cols>
    <col min="1" max="1" width="4.5703125" style="17" customWidth="1"/>
    <col min="2" max="2" width="12.5703125" style="17"/>
    <col min="3" max="3" width="16.28515625" style="17" customWidth="1"/>
    <col min="4" max="4" width="14" style="17" customWidth="1"/>
    <col min="5" max="16384" width="12.5703125" style="17"/>
  </cols>
  <sheetData>
    <row r="1" spans="1:9" x14ac:dyDescent="0.25">
      <c r="B1" s="16"/>
      <c r="C1" s="16"/>
      <c r="D1" s="16"/>
      <c r="E1" s="16"/>
      <c r="F1" s="16"/>
      <c r="G1" s="16"/>
      <c r="H1" s="16"/>
      <c r="I1" s="16"/>
    </row>
    <row r="2" spans="1:9" ht="18" x14ac:dyDescent="0.25">
      <c r="A2" s="16"/>
      <c r="B2" s="94" t="s">
        <v>69</v>
      </c>
      <c r="C2" s="16"/>
      <c r="D2" s="16"/>
      <c r="E2" s="16"/>
      <c r="F2" s="16"/>
      <c r="G2" s="16"/>
      <c r="H2" s="16"/>
      <c r="I2" s="16"/>
    </row>
    <row r="3" spans="1:9" x14ac:dyDescent="0.25">
      <c r="A3" s="16"/>
      <c r="B3" s="16"/>
      <c r="C3" s="16"/>
      <c r="D3" s="16"/>
      <c r="E3" s="16"/>
      <c r="F3" s="16"/>
      <c r="G3" s="16"/>
      <c r="H3" s="16"/>
      <c r="I3" s="16"/>
    </row>
    <row r="4" spans="1:9" x14ac:dyDescent="0.25">
      <c r="A4" s="16"/>
      <c r="B4" s="16" t="s">
        <v>68</v>
      </c>
      <c r="C4" s="16"/>
      <c r="D4" s="16"/>
      <c r="E4" s="16"/>
      <c r="F4" s="16"/>
      <c r="G4" s="16"/>
      <c r="H4" s="16"/>
      <c r="I4" s="16"/>
    </row>
    <row r="5" spans="1:9" ht="89.25" x14ac:dyDescent="0.25">
      <c r="A5" s="18"/>
      <c r="B5" s="19"/>
      <c r="C5" s="44" t="s">
        <v>67</v>
      </c>
      <c r="D5" s="45" t="s">
        <v>66</v>
      </c>
      <c r="E5" s="18"/>
      <c r="F5" s="18"/>
      <c r="G5" s="18"/>
      <c r="H5" s="18"/>
      <c r="I5" s="18"/>
    </row>
    <row r="6" spans="1:9" x14ac:dyDescent="0.25">
      <c r="A6" s="18"/>
      <c r="B6" s="20">
        <v>2013</v>
      </c>
      <c r="C6" s="21">
        <f>G42</f>
        <v>0.98039215686274506</v>
      </c>
      <c r="D6" s="22">
        <f>1/C6</f>
        <v>1.02</v>
      </c>
      <c r="E6" s="18"/>
      <c r="F6" s="18"/>
      <c r="G6" s="18"/>
      <c r="H6" s="18"/>
      <c r="I6" s="18"/>
    </row>
    <row r="7" spans="1:9" x14ac:dyDescent="0.25">
      <c r="A7" s="16"/>
      <c r="B7" s="23">
        <v>2012</v>
      </c>
      <c r="C7" s="24">
        <f>G41</f>
        <v>0.95980392156862737</v>
      </c>
      <c r="D7" s="22">
        <f t="shared" ref="D7:D18" si="0">1/C7</f>
        <v>1.0418794688457611</v>
      </c>
      <c r="E7" s="16"/>
      <c r="F7" s="16"/>
      <c r="G7" s="16"/>
      <c r="H7" s="16"/>
      <c r="I7" s="16"/>
    </row>
    <row r="8" spans="1:9" x14ac:dyDescent="0.25">
      <c r="A8" s="16"/>
      <c r="B8" s="23">
        <v>2011</v>
      </c>
      <c r="C8" s="24">
        <f>G40</f>
        <v>0.92909019607843135</v>
      </c>
      <c r="D8" s="22">
        <f t="shared" si="0"/>
        <v>1.07632176533653</v>
      </c>
      <c r="E8" s="25"/>
      <c r="F8" s="16"/>
      <c r="G8" s="16"/>
      <c r="H8" s="16"/>
      <c r="I8" s="16"/>
    </row>
    <row r="9" spans="1:9" x14ac:dyDescent="0.25">
      <c r="A9" s="16"/>
      <c r="B9" s="23">
        <v>2010</v>
      </c>
      <c r="C9" s="24">
        <f>G39</f>
        <v>0.91422475294117633</v>
      </c>
      <c r="D9" s="22">
        <f t="shared" si="0"/>
        <v>1.0938229322525712</v>
      </c>
      <c r="E9" s="16"/>
      <c r="F9" s="16"/>
      <c r="G9" s="16"/>
      <c r="H9" s="16"/>
      <c r="I9" s="16"/>
    </row>
    <row r="10" spans="1:9" x14ac:dyDescent="0.25">
      <c r="A10" s="16"/>
      <c r="B10" s="23">
        <v>2009</v>
      </c>
      <c r="C10" s="24">
        <f>G38</f>
        <v>0.91788165195294114</v>
      </c>
      <c r="D10" s="22">
        <f t="shared" si="0"/>
        <v>1.0894650719647123</v>
      </c>
      <c r="E10" s="25"/>
      <c r="F10" s="16"/>
      <c r="G10" s="16"/>
      <c r="H10" s="16"/>
      <c r="I10" s="16"/>
    </row>
    <row r="11" spans="1:9" x14ac:dyDescent="0.25">
      <c r="A11" s="16"/>
      <c r="B11" s="23">
        <v>2008</v>
      </c>
      <c r="C11" s="24">
        <f>G37</f>
        <v>0.88300214917872932</v>
      </c>
      <c r="D11" s="22">
        <f t="shared" si="0"/>
        <v>1.1325000748073932</v>
      </c>
      <c r="E11" s="25"/>
      <c r="F11" s="16"/>
      <c r="G11" s="16"/>
      <c r="H11" s="16"/>
      <c r="I11" s="16"/>
    </row>
    <row r="12" spans="1:9" x14ac:dyDescent="0.25">
      <c r="A12" s="16"/>
      <c r="B12" s="23">
        <v>2007</v>
      </c>
      <c r="C12" s="24">
        <f>G36</f>
        <v>0.85827808900172486</v>
      </c>
      <c r="D12" s="22">
        <f t="shared" si="0"/>
        <v>1.1651235337524624</v>
      </c>
      <c r="E12" s="25"/>
      <c r="F12" s="16"/>
      <c r="G12" s="16"/>
      <c r="H12" s="16"/>
      <c r="I12" s="16"/>
    </row>
    <row r="13" spans="1:9" x14ac:dyDescent="0.25">
      <c r="A13" s="16"/>
      <c r="B13" s="23">
        <v>2006</v>
      </c>
      <c r="C13" s="24">
        <f>G35</f>
        <v>0.83081319015366961</v>
      </c>
      <c r="D13" s="22">
        <f t="shared" si="0"/>
        <v>1.2036400142070891</v>
      </c>
      <c r="E13" s="25"/>
      <c r="F13" s="16"/>
      <c r="G13" s="16"/>
      <c r="H13" s="16"/>
      <c r="I13" s="16"/>
    </row>
    <row r="14" spans="1:9" x14ac:dyDescent="0.25">
      <c r="A14" s="16"/>
      <c r="B14" s="23">
        <v>2005</v>
      </c>
      <c r="C14" s="24">
        <f>G34</f>
        <v>0.80256554168844496</v>
      </c>
      <c r="D14" s="22">
        <f t="shared" si="0"/>
        <v>1.246004155493881</v>
      </c>
      <c r="E14" s="25"/>
      <c r="F14" s="16"/>
      <c r="G14" s="16"/>
      <c r="H14" s="16"/>
      <c r="I14" s="16"/>
    </row>
    <row r="15" spans="1:9" x14ac:dyDescent="0.25">
      <c r="A15" s="16"/>
      <c r="B15" s="23">
        <v>2004</v>
      </c>
      <c r="C15" s="24">
        <f>G33</f>
        <v>0.78089627206285683</v>
      </c>
      <c r="D15" s="22">
        <f t="shared" si="0"/>
        <v>1.2805798103739785</v>
      </c>
      <c r="E15" s="25"/>
      <c r="F15" s="16"/>
      <c r="G15" s="16"/>
      <c r="H15" s="16"/>
      <c r="I15" s="16"/>
    </row>
    <row r="16" spans="1:9" x14ac:dyDescent="0.25">
      <c r="A16" s="16"/>
      <c r="B16" s="23">
        <v>2003</v>
      </c>
      <c r="C16" s="24">
        <f>G32</f>
        <v>0.76293565780541106</v>
      </c>
      <c r="D16" s="22">
        <f t="shared" si="0"/>
        <v>1.310726520341841</v>
      </c>
      <c r="E16" s="25"/>
      <c r="F16" s="16"/>
      <c r="G16" s="16"/>
      <c r="H16" s="16"/>
      <c r="I16" s="16"/>
    </row>
    <row r="17" spans="1:9" x14ac:dyDescent="0.25">
      <c r="A17" s="16"/>
      <c r="B17" s="23">
        <v>2002</v>
      </c>
      <c r="C17" s="24">
        <f>G31</f>
        <v>0.75072868728052444</v>
      </c>
      <c r="D17" s="22">
        <f t="shared" si="0"/>
        <v>1.332039146688863</v>
      </c>
      <c r="E17" s="25"/>
      <c r="F17" s="16"/>
      <c r="G17" s="16"/>
      <c r="H17" s="16"/>
      <c r="I17" s="16"/>
    </row>
    <row r="18" spans="1:9" x14ac:dyDescent="0.25">
      <c r="A18" s="16"/>
      <c r="B18" s="23">
        <v>2001</v>
      </c>
      <c r="C18" s="24">
        <f>G30</f>
        <v>0.72970828403666976</v>
      </c>
      <c r="D18" s="22">
        <f t="shared" si="0"/>
        <v>1.3704106447416284</v>
      </c>
      <c r="E18" s="25"/>
      <c r="F18" s="16"/>
      <c r="G18" s="16"/>
      <c r="H18" s="16"/>
      <c r="I18" s="16"/>
    </row>
    <row r="19" spans="1:9" x14ac:dyDescent="0.25">
      <c r="A19" s="16"/>
      <c r="B19" s="26">
        <v>2000</v>
      </c>
      <c r="C19" s="27">
        <f>G29</f>
        <v>0.70489820237942302</v>
      </c>
      <c r="D19" s="28">
        <f>1/C19</f>
        <v>1.4186445597739425</v>
      </c>
      <c r="E19" s="25"/>
      <c r="F19" s="16"/>
      <c r="G19" s="16"/>
      <c r="H19" s="16"/>
      <c r="I19" s="16"/>
    </row>
    <row r="20" spans="1:9" x14ac:dyDescent="0.25">
      <c r="A20" s="16"/>
      <c r="B20" s="16"/>
      <c r="C20" s="16"/>
      <c r="D20" s="16"/>
      <c r="E20" s="16"/>
      <c r="F20" s="16"/>
      <c r="G20" s="16"/>
      <c r="H20" s="16"/>
      <c r="I20" s="16"/>
    </row>
    <row r="21" spans="1:9" x14ac:dyDescent="0.25">
      <c r="A21" s="16"/>
      <c r="B21" s="16" t="s">
        <v>65</v>
      </c>
      <c r="C21" s="16"/>
      <c r="D21" s="16"/>
      <c r="E21" s="16"/>
      <c r="F21" s="16"/>
      <c r="G21" s="16"/>
      <c r="H21" s="16"/>
      <c r="I21" s="16"/>
    </row>
    <row r="22" spans="1:9" x14ac:dyDescent="0.25">
      <c r="A22" s="16"/>
      <c r="B22" s="29" t="s">
        <v>64</v>
      </c>
      <c r="C22" s="30"/>
      <c r="D22" s="30"/>
      <c r="E22" s="30"/>
      <c r="F22" s="30"/>
      <c r="G22" s="30"/>
      <c r="H22" s="31"/>
      <c r="I22" s="16"/>
    </row>
    <row r="23" spans="1:9" x14ac:dyDescent="0.25">
      <c r="A23" s="16"/>
      <c r="B23" s="23" t="s">
        <v>7</v>
      </c>
      <c r="C23" s="32"/>
      <c r="D23" s="32"/>
      <c r="E23" s="32"/>
      <c r="F23" s="32"/>
      <c r="G23" s="32"/>
      <c r="H23" s="33"/>
      <c r="I23" s="16"/>
    </row>
    <row r="24" spans="1:9" x14ac:dyDescent="0.25">
      <c r="A24" s="16"/>
      <c r="B24" s="23"/>
      <c r="C24" s="32" t="s">
        <v>63</v>
      </c>
      <c r="D24" s="32" t="s">
        <v>62</v>
      </c>
      <c r="E24" s="32"/>
      <c r="F24" s="32" t="s">
        <v>61</v>
      </c>
      <c r="G24" s="32" t="s">
        <v>60</v>
      </c>
      <c r="H24" s="33"/>
      <c r="I24" s="16"/>
    </row>
    <row r="25" spans="1:9" x14ac:dyDescent="0.25">
      <c r="A25" s="16"/>
      <c r="B25" s="23">
        <v>1996</v>
      </c>
      <c r="C25" s="32">
        <v>3</v>
      </c>
      <c r="D25" s="32">
        <f>C25/100</f>
        <v>0.03</v>
      </c>
      <c r="E25" s="32"/>
      <c r="F25" s="24">
        <f t="shared" ref="F25:F40" si="1">F26*(1-D25)</f>
        <v>0.65573267652457867</v>
      </c>
      <c r="G25" s="24">
        <f t="shared" ref="G25:G42" si="2">F25/$F$43</f>
        <v>0.64287517306331243</v>
      </c>
      <c r="H25" s="33"/>
      <c r="I25" s="16"/>
    </row>
    <row r="26" spans="1:9" x14ac:dyDescent="0.25">
      <c r="A26" s="16"/>
      <c r="B26" s="23">
        <v>1997</v>
      </c>
      <c r="C26" s="32">
        <v>2.2999999999999998</v>
      </c>
      <c r="D26" s="32">
        <f t="shared" ref="D26:D41" si="3">C26/100</f>
        <v>2.3E-2</v>
      </c>
      <c r="E26" s="32"/>
      <c r="F26" s="24">
        <f t="shared" si="1"/>
        <v>0.67601306858203991</v>
      </c>
      <c r="G26" s="24">
        <f t="shared" si="2"/>
        <v>0.6627579103745489</v>
      </c>
      <c r="H26" s="33"/>
      <c r="I26" s="16"/>
    </row>
    <row r="27" spans="1:9" x14ac:dyDescent="0.25">
      <c r="A27" s="16"/>
      <c r="B27" s="23">
        <v>1998</v>
      </c>
      <c r="C27" s="32">
        <v>1.6</v>
      </c>
      <c r="D27" s="32">
        <f t="shared" si="3"/>
        <v>1.6E-2</v>
      </c>
      <c r="E27" s="32"/>
      <c r="F27" s="24">
        <f t="shared" si="1"/>
        <v>0.6919273987533674</v>
      </c>
      <c r="G27" s="24">
        <f t="shared" si="2"/>
        <v>0.67836019485624255</v>
      </c>
      <c r="H27" s="33"/>
      <c r="I27" s="16"/>
    </row>
    <row r="28" spans="1:9" x14ac:dyDescent="0.25">
      <c r="A28" s="16"/>
      <c r="B28" s="23">
        <v>1999</v>
      </c>
      <c r="C28" s="32">
        <v>2.2000000000000002</v>
      </c>
      <c r="D28" s="32">
        <f t="shared" si="3"/>
        <v>2.2000000000000002E-2</v>
      </c>
      <c r="E28" s="32"/>
      <c r="F28" s="24">
        <f t="shared" si="1"/>
        <v>0.70317825076561724</v>
      </c>
      <c r="G28" s="24">
        <f t="shared" si="2"/>
        <v>0.68939044192707566</v>
      </c>
      <c r="H28" s="33"/>
      <c r="I28" s="16"/>
    </row>
    <row r="29" spans="1:9" x14ac:dyDescent="0.25">
      <c r="A29" s="16"/>
      <c r="B29" s="23">
        <v>2000</v>
      </c>
      <c r="C29" s="32">
        <v>3.4</v>
      </c>
      <c r="D29" s="32">
        <f t="shared" si="3"/>
        <v>3.4000000000000002E-2</v>
      </c>
      <c r="E29" s="32"/>
      <c r="F29" s="24">
        <f t="shared" si="1"/>
        <v>0.71899616642701147</v>
      </c>
      <c r="G29" s="24">
        <f t="shared" si="2"/>
        <v>0.70489820237942302</v>
      </c>
      <c r="H29" s="35"/>
      <c r="I29" s="16"/>
    </row>
    <row r="30" spans="1:9" x14ac:dyDescent="0.25">
      <c r="A30" s="16"/>
      <c r="B30" s="23">
        <v>2001</v>
      </c>
      <c r="C30" s="32">
        <v>2.8</v>
      </c>
      <c r="D30" s="32">
        <f t="shared" si="3"/>
        <v>2.7999999999999997E-2</v>
      </c>
      <c r="E30" s="32"/>
      <c r="F30" s="24">
        <f t="shared" si="1"/>
        <v>0.74430244971740323</v>
      </c>
      <c r="G30" s="24">
        <f t="shared" si="2"/>
        <v>0.72970828403666976</v>
      </c>
      <c r="H30" s="33"/>
      <c r="I30" s="16"/>
    </row>
    <row r="31" spans="1:9" x14ac:dyDescent="0.25">
      <c r="A31" s="16"/>
      <c r="B31" s="23">
        <v>2002</v>
      </c>
      <c r="C31" s="32">
        <v>1.6</v>
      </c>
      <c r="D31" s="32">
        <f t="shared" si="3"/>
        <v>1.6E-2</v>
      </c>
      <c r="E31" s="32"/>
      <c r="F31" s="24">
        <f t="shared" si="1"/>
        <v>0.76574326102613499</v>
      </c>
      <c r="G31" s="24">
        <f t="shared" si="2"/>
        <v>0.75072868728052444</v>
      </c>
      <c r="H31" s="33"/>
      <c r="I31" s="16"/>
    </row>
    <row r="32" spans="1:9" x14ac:dyDescent="0.25">
      <c r="A32" s="16"/>
      <c r="B32" s="23">
        <v>2003</v>
      </c>
      <c r="C32" s="32">
        <v>2.2999999999999998</v>
      </c>
      <c r="D32" s="32">
        <f t="shared" si="3"/>
        <v>2.3E-2</v>
      </c>
      <c r="E32" s="32"/>
      <c r="F32" s="24">
        <f t="shared" si="1"/>
        <v>0.77819437096151933</v>
      </c>
      <c r="G32" s="24">
        <f t="shared" si="2"/>
        <v>0.76293565780541106</v>
      </c>
      <c r="H32" s="33"/>
      <c r="I32" s="16"/>
    </row>
    <row r="33" spans="1:9" x14ac:dyDescent="0.25">
      <c r="A33" s="16"/>
      <c r="B33" s="23">
        <v>2004</v>
      </c>
      <c r="C33" s="32">
        <v>2.7</v>
      </c>
      <c r="D33" s="32">
        <f t="shared" si="3"/>
        <v>2.7000000000000003E-2</v>
      </c>
      <c r="E33" s="32"/>
      <c r="F33" s="24">
        <f t="shared" si="1"/>
        <v>0.79651419750411401</v>
      </c>
      <c r="G33" s="24">
        <f t="shared" si="2"/>
        <v>0.78089627206285683</v>
      </c>
      <c r="H33" s="33"/>
      <c r="I33" s="16"/>
    </row>
    <row r="34" spans="1:9" x14ac:dyDescent="0.25">
      <c r="A34" s="16"/>
      <c r="B34" s="23">
        <v>2005</v>
      </c>
      <c r="C34" s="32">
        <v>3.4</v>
      </c>
      <c r="D34" s="32">
        <f t="shared" si="3"/>
        <v>3.4000000000000002E-2</v>
      </c>
      <c r="E34" s="32"/>
      <c r="F34" s="24">
        <f t="shared" si="1"/>
        <v>0.81861685252221383</v>
      </c>
      <c r="G34" s="24">
        <f t="shared" si="2"/>
        <v>0.80256554168844496</v>
      </c>
      <c r="H34" s="33"/>
      <c r="I34" s="16"/>
    </row>
    <row r="35" spans="1:9" x14ac:dyDescent="0.25">
      <c r="A35" s="16"/>
      <c r="B35" s="23">
        <v>2006</v>
      </c>
      <c r="C35" s="32">
        <v>3.2</v>
      </c>
      <c r="D35" s="32">
        <f t="shared" si="3"/>
        <v>3.2000000000000001E-2</v>
      </c>
      <c r="E35" s="32"/>
      <c r="F35" s="24">
        <f t="shared" si="1"/>
        <v>0.84742945395674307</v>
      </c>
      <c r="G35" s="24">
        <f t="shared" si="2"/>
        <v>0.83081319015366961</v>
      </c>
      <c r="H35" s="33"/>
      <c r="I35" s="16"/>
    </row>
    <row r="36" spans="1:9" x14ac:dyDescent="0.25">
      <c r="A36" s="16"/>
      <c r="B36" s="23">
        <v>2007</v>
      </c>
      <c r="C36" s="32">
        <v>2.8</v>
      </c>
      <c r="D36" s="32">
        <f t="shared" si="3"/>
        <v>2.7999999999999997E-2</v>
      </c>
      <c r="E36" s="32"/>
      <c r="F36" s="24">
        <f t="shared" si="1"/>
        <v>0.87544365078175934</v>
      </c>
      <c r="G36" s="24">
        <f t="shared" si="2"/>
        <v>0.85827808900172486</v>
      </c>
      <c r="H36" s="33"/>
      <c r="I36" s="16"/>
    </row>
    <row r="37" spans="1:9" x14ac:dyDescent="0.25">
      <c r="A37" s="16"/>
      <c r="B37" s="23">
        <v>2008</v>
      </c>
      <c r="C37" s="32">
        <v>3.8</v>
      </c>
      <c r="D37" s="32">
        <f t="shared" si="3"/>
        <v>3.7999999999999999E-2</v>
      </c>
      <c r="E37" s="32"/>
      <c r="F37" s="24">
        <f t="shared" si="1"/>
        <v>0.90066219216230392</v>
      </c>
      <c r="G37" s="24">
        <f t="shared" si="2"/>
        <v>0.88300214917872932</v>
      </c>
      <c r="H37" s="33"/>
      <c r="I37" s="16"/>
    </row>
    <row r="38" spans="1:9" x14ac:dyDescent="0.25">
      <c r="A38" s="16"/>
      <c r="B38" s="23">
        <v>2009</v>
      </c>
      <c r="C38" s="32">
        <v>-0.4</v>
      </c>
      <c r="D38" s="32">
        <f t="shared" si="3"/>
        <v>-4.0000000000000001E-3</v>
      </c>
      <c r="E38" s="32"/>
      <c r="F38" s="24">
        <f t="shared" si="1"/>
        <v>0.93623928499199993</v>
      </c>
      <c r="G38" s="24">
        <f t="shared" si="2"/>
        <v>0.91788165195294114</v>
      </c>
      <c r="H38" s="33"/>
      <c r="I38" s="16"/>
    </row>
    <row r="39" spans="1:9" x14ac:dyDescent="0.25">
      <c r="A39" s="16"/>
      <c r="B39" s="23">
        <v>2010</v>
      </c>
      <c r="C39" s="32">
        <v>1.6</v>
      </c>
      <c r="D39" s="32">
        <f t="shared" si="3"/>
        <v>1.6E-2</v>
      </c>
      <c r="E39" s="32"/>
      <c r="F39" s="24">
        <f t="shared" si="1"/>
        <v>0.9325092479999999</v>
      </c>
      <c r="G39" s="24">
        <f t="shared" si="2"/>
        <v>0.91422475294117633</v>
      </c>
      <c r="H39" s="33"/>
      <c r="I39" s="16"/>
    </row>
    <row r="40" spans="1:9" x14ac:dyDescent="0.25">
      <c r="A40" s="16"/>
      <c r="B40" s="36">
        <v>2011</v>
      </c>
      <c r="C40" s="34">
        <v>3.2</v>
      </c>
      <c r="D40" s="34">
        <f t="shared" si="3"/>
        <v>3.2000000000000001E-2</v>
      </c>
      <c r="E40" s="32"/>
      <c r="F40" s="24">
        <f t="shared" si="1"/>
        <v>0.94767199999999996</v>
      </c>
      <c r="G40" s="24">
        <f t="shared" si="2"/>
        <v>0.92909019607843135</v>
      </c>
      <c r="H40" s="33"/>
      <c r="I40" s="16"/>
    </row>
    <row r="41" spans="1:9" x14ac:dyDescent="0.25">
      <c r="A41" s="16"/>
      <c r="B41" s="36">
        <v>2012</v>
      </c>
      <c r="C41" s="34">
        <v>2.1</v>
      </c>
      <c r="D41" s="34">
        <f t="shared" si="3"/>
        <v>2.1000000000000001E-2</v>
      </c>
      <c r="E41" s="32"/>
      <c r="F41" s="24">
        <f>F42-D41</f>
        <v>0.97899999999999998</v>
      </c>
      <c r="G41" s="24">
        <f t="shared" si="2"/>
        <v>0.95980392156862737</v>
      </c>
      <c r="H41" s="33"/>
      <c r="I41" s="16"/>
    </row>
    <row r="42" spans="1:9" x14ac:dyDescent="0.25">
      <c r="A42" s="16"/>
      <c r="B42" s="37">
        <v>2013</v>
      </c>
      <c r="C42" s="38" t="s">
        <v>57</v>
      </c>
      <c r="D42" s="38" t="s">
        <v>57</v>
      </c>
      <c r="E42" s="38"/>
      <c r="F42" s="27">
        <v>1</v>
      </c>
      <c r="G42" s="24">
        <f t="shared" si="2"/>
        <v>0.98039215686274506</v>
      </c>
      <c r="H42" s="39"/>
      <c r="I42" s="16"/>
    </row>
    <row r="43" spans="1:9" x14ac:dyDescent="0.25">
      <c r="A43" s="16"/>
      <c r="B43" s="40">
        <v>2014</v>
      </c>
      <c r="C43" s="41"/>
      <c r="D43" s="41"/>
      <c r="E43" s="41"/>
      <c r="F43" s="41">
        <v>1.02</v>
      </c>
      <c r="G43" s="41"/>
      <c r="H43" s="42"/>
      <c r="I43" s="16"/>
    </row>
    <row r="44" spans="1:9" x14ac:dyDescent="0.25">
      <c r="A44" s="16"/>
      <c r="B44" s="16" t="s">
        <v>56</v>
      </c>
      <c r="C44" s="43">
        <f>AVERAGE(C25:C41)</f>
        <v>2.4470588235294124</v>
      </c>
      <c r="D44" s="43">
        <f>AVERAGE(D25:D41)</f>
        <v>2.4470588235294119E-2</v>
      </c>
      <c r="E44" s="16"/>
      <c r="F44" s="25"/>
      <c r="G44" s="16"/>
      <c r="H44" s="16"/>
      <c r="I44" s="16"/>
    </row>
    <row r="45" spans="1:9" x14ac:dyDescent="0.25">
      <c r="A45" s="16"/>
      <c r="B45" s="16"/>
      <c r="C45" s="16"/>
      <c r="D45" s="16"/>
      <c r="E45" s="16"/>
      <c r="F45" s="16"/>
      <c r="G45" s="16"/>
      <c r="H45" s="16"/>
      <c r="I45" s="16"/>
    </row>
    <row r="46" spans="1:9" x14ac:dyDescent="0.25">
      <c r="A46" s="16"/>
      <c r="B46" s="32" t="s">
        <v>79</v>
      </c>
      <c r="C46" s="16"/>
      <c r="D46" s="16"/>
      <c r="E46" s="16"/>
      <c r="F46" s="16"/>
      <c r="G46" s="16"/>
      <c r="H46" s="16"/>
      <c r="I46" s="16"/>
    </row>
    <row r="47" spans="1:9" x14ac:dyDescent="0.25">
      <c r="A47" s="16"/>
      <c r="B47" s="32" t="s">
        <v>80</v>
      </c>
      <c r="C47" s="16"/>
      <c r="D47" s="16"/>
      <c r="E47" s="16"/>
      <c r="F47" s="16"/>
      <c r="G47" s="16"/>
      <c r="H47" s="16"/>
      <c r="I47" s="16"/>
    </row>
    <row r="48" spans="1:9" x14ac:dyDescent="0.25">
      <c r="B48" s="32" t="s">
        <v>59</v>
      </c>
    </row>
    <row r="49" spans="2:7" x14ac:dyDescent="0.25">
      <c r="B49" s="34" t="s">
        <v>58</v>
      </c>
    </row>
    <row r="51" spans="2:7" x14ac:dyDescent="0.25">
      <c r="B51" s="34"/>
    </row>
    <row r="52" spans="2:7" x14ac:dyDescent="0.25">
      <c r="B52" s="32"/>
    </row>
    <row r="54" spans="2:7" ht="15.75" x14ac:dyDescent="0.25">
      <c r="B54" s="1299" t="s">
        <v>93</v>
      </c>
      <c r="C54" s="1297"/>
      <c r="D54" s="1297"/>
      <c r="E54" s="1297"/>
      <c r="F54" s="1297"/>
      <c r="G54" s="1297"/>
    </row>
    <row r="55" spans="2:7" ht="15.75" x14ac:dyDescent="0.25">
      <c r="B55" s="1299" t="s">
        <v>94</v>
      </c>
      <c r="C55" s="1297"/>
      <c r="D55" s="1297"/>
      <c r="E55" s="1297"/>
      <c r="F55" s="1297"/>
      <c r="G55" s="1297"/>
    </row>
    <row r="56" spans="2:7" ht="15" x14ac:dyDescent="0.25">
      <c r="B56" s="1297"/>
      <c r="C56" s="1297"/>
      <c r="D56" s="1297"/>
      <c r="E56" s="1297"/>
      <c r="F56" s="1297"/>
      <c r="G56" s="1297"/>
    </row>
    <row r="57" spans="2:7" ht="15" x14ac:dyDescent="0.25">
      <c r="B57" s="208" t="s">
        <v>95</v>
      </c>
      <c r="C57" s="1296" t="s">
        <v>96</v>
      </c>
      <c r="D57" s="1297"/>
      <c r="E57" s="1297"/>
      <c r="F57" s="1297"/>
      <c r="G57" s="1297"/>
    </row>
    <row r="58" spans="2:7" ht="15" x14ac:dyDescent="0.25">
      <c r="B58" s="1300" t="s">
        <v>97</v>
      </c>
      <c r="C58" s="1297"/>
      <c r="D58" s="1297"/>
      <c r="E58" s="1297"/>
      <c r="F58" s="1297"/>
      <c r="G58" s="1297"/>
    </row>
    <row r="59" spans="2:7" ht="15" x14ac:dyDescent="0.25">
      <c r="B59" s="208" t="s">
        <v>98</v>
      </c>
      <c r="C59" s="1296" t="s">
        <v>99</v>
      </c>
      <c r="D59" s="1297"/>
      <c r="E59" s="1297"/>
      <c r="F59" s="1297"/>
      <c r="G59" s="1297"/>
    </row>
    <row r="60" spans="2:7" ht="15" x14ac:dyDescent="0.25">
      <c r="B60" s="208" t="s">
        <v>100</v>
      </c>
      <c r="C60" s="1296" t="s">
        <v>101</v>
      </c>
      <c r="D60" s="1297"/>
      <c r="E60" s="1297"/>
      <c r="F60" s="1297"/>
      <c r="G60" s="1297"/>
    </row>
    <row r="61" spans="2:7" ht="25.5" x14ac:dyDescent="0.25">
      <c r="B61" s="208" t="s">
        <v>102</v>
      </c>
      <c r="C61" s="1296" t="s">
        <v>103</v>
      </c>
      <c r="D61" s="1297"/>
      <c r="E61" s="1297"/>
      <c r="F61" s="1297"/>
      <c r="G61" s="1297"/>
    </row>
    <row r="62" spans="2:7" ht="15" x14ac:dyDescent="0.25">
      <c r="B62" s="208" t="s">
        <v>104</v>
      </c>
      <c r="C62" s="1298" t="s">
        <v>105</v>
      </c>
      <c r="D62" s="1297"/>
      <c r="E62" s="1297"/>
      <c r="F62" s="1297"/>
      <c r="G62" s="1297"/>
    </row>
    <row r="63" spans="2:7" ht="15" x14ac:dyDescent="0.25">
      <c r="B63"/>
      <c r="C63"/>
      <c r="D63"/>
      <c r="E63"/>
      <c r="F63"/>
      <c r="G63"/>
    </row>
    <row r="64" spans="2:7" ht="35.25" customHeight="1" thickBot="1" x14ac:dyDescent="0.3">
      <c r="B64" s="209" t="s">
        <v>7</v>
      </c>
      <c r="C64" s="209" t="s">
        <v>64</v>
      </c>
      <c r="D64" s="213" t="s">
        <v>106</v>
      </c>
      <c r="E64"/>
      <c r="F64"/>
      <c r="G64"/>
    </row>
    <row r="65" spans="2:7" ht="15.75" thickTop="1" x14ac:dyDescent="0.25">
      <c r="B65" s="210">
        <v>1995</v>
      </c>
      <c r="C65" s="211">
        <v>152.4</v>
      </c>
      <c r="D65"/>
      <c r="E65"/>
      <c r="F65"/>
      <c r="G65"/>
    </row>
    <row r="66" spans="2:7" ht="15" x14ac:dyDescent="0.25">
      <c r="B66" s="210">
        <v>1996</v>
      </c>
      <c r="C66" s="211">
        <v>156.9</v>
      </c>
      <c r="D66"/>
      <c r="E66"/>
      <c r="F66"/>
      <c r="G66"/>
    </row>
    <row r="67" spans="2:7" ht="15" x14ac:dyDescent="0.25">
      <c r="B67" s="210">
        <v>1997</v>
      </c>
      <c r="C67" s="211">
        <v>160.5</v>
      </c>
      <c r="D67"/>
      <c r="E67"/>
      <c r="F67"/>
      <c r="G67"/>
    </row>
    <row r="68" spans="2:7" ht="15" x14ac:dyDescent="0.25">
      <c r="B68" s="210">
        <v>1998</v>
      </c>
      <c r="C68" s="211">
        <v>163</v>
      </c>
      <c r="D68"/>
      <c r="E68"/>
      <c r="F68"/>
      <c r="G68"/>
    </row>
    <row r="69" spans="2:7" ht="15" x14ac:dyDescent="0.25">
      <c r="B69" s="210">
        <v>1999</v>
      </c>
      <c r="C69" s="211">
        <v>166.6</v>
      </c>
      <c r="D69"/>
      <c r="E69"/>
      <c r="F69"/>
      <c r="G69"/>
    </row>
    <row r="70" spans="2:7" ht="15" x14ac:dyDescent="0.25">
      <c r="B70" s="210">
        <v>2000</v>
      </c>
      <c r="C70" s="211">
        <v>172.2</v>
      </c>
      <c r="D70"/>
      <c r="E70"/>
      <c r="F70"/>
      <c r="G70"/>
    </row>
    <row r="71" spans="2:7" ht="15" x14ac:dyDescent="0.25">
      <c r="B71" s="210">
        <v>2001</v>
      </c>
      <c r="C71" s="211">
        <v>177.1</v>
      </c>
      <c r="D71"/>
      <c r="E71"/>
      <c r="F71"/>
      <c r="G71"/>
    </row>
    <row r="72" spans="2:7" ht="15" x14ac:dyDescent="0.25">
      <c r="B72" s="210">
        <v>2002</v>
      </c>
      <c r="C72" s="211">
        <v>179.9</v>
      </c>
      <c r="D72"/>
      <c r="E72"/>
      <c r="F72"/>
      <c r="G72"/>
    </row>
    <row r="73" spans="2:7" ht="15" x14ac:dyDescent="0.25">
      <c r="B73" s="210">
        <v>2003</v>
      </c>
      <c r="C73" s="211">
        <v>184</v>
      </c>
      <c r="D73"/>
      <c r="E73"/>
      <c r="F73"/>
      <c r="G73"/>
    </row>
    <row r="74" spans="2:7" ht="15" x14ac:dyDescent="0.25">
      <c r="B74" s="210">
        <v>2004</v>
      </c>
      <c r="C74" s="211">
        <v>188.9</v>
      </c>
      <c r="D74"/>
      <c r="E74"/>
      <c r="F74"/>
      <c r="G74"/>
    </row>
    <row r="75" spans="2:7" ht="15" x14ac:dyDescent="0.25">
      <c r="B75" s="210">
        <v>2005</v>
      </c>
      <c r="C75" s="211">
        <v>195.3</v>
      </c>
      <c r="D75" s="214">
        <f>(C75-C74)/C74</f>
        <v>3.3880359978824805E-2</v>
      </c>
      <c r="E75"/>
      <c r="F75"/>
      <c r="G75"/>
    </row>
    <row r="76" spans="2:7" ht="15" x14ac:dyDescent="0.25">
      <c r="B76" s="210">
        <v>2006</v>
      </c>
      <c r="C76" s="211">
        <v>201.6</v>
      </c>
      <c r="D76" s="214">
        <f>(C76-C75)/C75</f>
        <v>3.2258064516128941E-2</v>
      </c>
      <c r="E76"/>
      <c r="F76"/>
      <c r="G76"/>
    </row>
    <row r="77" spans="2:7" ht="15" x14ac:dyDescent="0.25">
      <c r="B77" s="210">
        <v>2007</v>
      </c>
      <c r="C77" s="212">
        <v>207.34200000000001</v>
      </c>
      <c r="D77" s="214">
        <f t="shared" ref="D77:D85" si="4">(C77-C76)/C76</f>
        <v>2.8482142857142949E-2</v>
      </c>
      <c r="E77"/>
      <c r="F77"/>
      <c r="G77"/>
    </row>
    <row r="78" spans="2:7" ht="15" x14ac:dyDescent="0.25">
      <c r="B78" s="210">
        <v>2008</v>
      </c>
      <c r="C78" s="212">
        <v>215.303</v>
      </c>
      <c r="D78" s="214">
        <f t="shared" si="4"/>
        <v>3.8395501152684856E-2</v>
      </c>
      <c r="E78"/>
      <c r="F78"/>
      <c r="G78"/>
    </row>
    <row r="79" spans="2:7" ht="15" x14ac:dyDescent="0.25">
      <c r="B79" s="210">
        <v>2009</v>
      </c>
      <c r="C79" s="212">
        <v>214.53700000000001</v>
      </c>
      <c r="D79" s="214">
        <f t="shared" si="4"/>
        <v>-3.5577767146764846E-3</v>
      </c>
      <c r="E79"/>
      <c r="F79"/>
      <c r="G79"/>
    </row>
    <row r="80" spans="2:7" ht="15" x14ac:dyDescent="0.25">
      <c r="B80" s="210">
        <v>2010</v>
      </c>
      <c r="C80" s="212">
        <v>218.05600000000001</v>
      </c>
      <c r="D80" s="214">
        <f t="shared" si="4"/>
        <v>1.6402765024214963E-2</v>
      </c>
      <c r="E80"/>
      <c r="F80"/>
      <c r="G80"/>
    </row>
    <row r="81" spans="2:48" ht="15" x14ac:dyDescent="0.25">
      <c r="B81" s="210">
        <v>2011</v>
      </c>
      <c r="C81" s="212">
        <v>224.93899999999999</v>
      </c>
      <c r="D81" s="214">
        <f t="shared" si="4"/>
        <v>3.1565285981582626E-2</v>
      </c>
      <c r="E81"/>
      <c r="F81"/>
      <c r="G81"/>
    </row>
    <row r="82" spans="2:48" ht="15" x14ac:dyDescent="0.25">
      <c r="B82" s="210">
        <v>2012</v>
      </c>
      <c r="C82" s="212">
        <v>229.59399999999999</v>
      </c>
      <c r="D82" s="214">
        <f t="shared" si="4"/>
        <v>2.0694499397614471E-2</v>
      </c>
      <c r="E82"/>
      <c r="F82"/>
      <c r="G82"/>
    </row>
    <row r="83" spans="2:48" ht="15" x14ac:dyDescent="0.25">
      <c r="B83" s="210">
        <v>2013</v>
      </c>
      <c r="C83" s="212">
        <v>232.95699999999999</v>
      </c>
      <c r="D83" s="214">
        <f t="shared" si="4"/>
        <v>1.4647595320435202E-2</v>
      </c>
      <c r="E83"/>
      <c r="F83"/>
      <c r="G83"/>
    </row>
    <row r="84" spans="2:48" ht="15" x14ac:dyDescent="0.25">
      <c r="B84" s="210">
        <v>2014</v>
      </c>
      <c r="C84" s="212">
        <v>236.73599999999999</v>
      </c>
      <c r="D84" s="214">
        <f t="shared" si="4"/>
        <v>1.6221877857286952E-2</v>
      </c>
      <c r="E84"/>
      <c r="F84"/>
      <c r="G84"/>
    </row>
    <row r="85" spans="2:48" ht="15" x14ac:dyDescent="0.25">
      <c r="B85" s="210">
        <v>2015</v>
      </c>
      <c r="C85" s="212">
        <v>237.017</v>
      </c>
      <c r="D85" s="214">
        <f t="shared" si="4"/>
        <v>1.1869762097864538E-3</v>
      </c>
      <c r="E85"/>
      <c r="F85"/>
      <c r="G85"/>
    </row>
    <row r="86" spans="2:48" ht="15" x14ac:dyDescent="0.25">
      <c r="D86" s="215">
        <f>AVERAGE(D75:D85)</f>
        <v>2.0925208325547794E-2</v>
      </c>
      <c r="E86" s="17" t="s">
        <v>109</v>
      </c>
    </row>
    <row r="88" spans="2:48" s="216" customFormat="1" ht="15" x14ac:dyDescent="0.25">
      <c r="B88"/>
      <c r="C88"/>
      <c r="D88"/>
      <c r="E88"/>
      <c r="M88" s="217"/>
      <c r="N88" s="217"/>
      <c r="O88" s="217"/>
      <c r="P88" s="217"/>
      <c r="Q88" s="217"/>
      <c r="R88" s="217"/>
      <c r="S88" s="217"/>
      <c r="T88" s="217"/>
      <c r="U88" s="217"/>
      <c r="V88" s="217"/>
      <c r="W88" s="217"/>
      <c r="X88" s="483"/>
      <c r="Y88" s="484"/>
      <c r="Z88" s="484"/>
      <c r="AA88" s="484"/>
      <c r="AB88" s="484"/>
      <c r="AC88" s="484"/>
      <c r="AD88" s="484"/>
      <c r="AE88" s="484"/>
      <c r="AF88" s="484"/>
      <c r="AG88" s="484"/>
      <c r="AH88" s="484"/>
      <c r="AI88" s="484"/>
      <c r="AJ88" s="484"/>
      <c r="AK88" s="484"/>
      <c r="AL88" s="484"/>
      <c r="AM88" s="484"/>
      <c r="AN88" s="484"/>
      <c r="AO88" s="484"/>
      <c r="AP88" s="484"/>
      <c r="AQ88" s="484"/>
      <c r="AR88" s="484"/>
      <c r="AS88" s="484"/>
      <c r="AT88" s="484"/>
      <c r="AU88" s="484"/>
      <c r="AV88" s="484"/>
    </row>
    <row r="89" spans="2:48" ht="13.5" thickBot="1" x14ac:dyDescent="0.3">
      <c r="C89" s="218" t="s">
        <v>108</v>
      </c>
      <c r="X89" s="485"/>
      <c r="Y89" s="486"/>
      <c r="Z89" s="486"/>
      <c r="AA89" s="486"/>
      <c r="AB89" s="486"/>
      <c r="AC89" s="486"/>
      <c r="AD89" s="486"/>
      <c r="AE89" s="486"/>
      <c r="AF89" s="486"/>
      <c r="AG89" s="486"/>
      <c r="AH89" s="486"/>
      <c r="AI89" s="486"/>
      <c r="AJ89" s="486"/>
      <c r="AK89" s="486"/>
      <c r="AL89" s="486"/>
      <c r="AM89" s="486"/>
      <c r="AN89" s="486"/>
      <c r="AO89" s="486"/>
      <c r="AP89" s="486"/>
      <c r="AQ89" s="486"/>
      <c r="AR89" s="486"/>
      <c r="AS89" s="486"/>
      <c r="AT89" s="486"/>
      <c r="AU89" s="486"/>
      <c r="AV89" s="486"/>
    </row>
    <row r="90" spans="2:48" s="218" customFormat="1" x14ac:dyDescent="0.25">
      <c r="B90" s="218" t="s">
        <v>7</v>
      </c>
      <c r="C90" s="223">
        <v>1995</v>
      </c>
      <c r="D90" s="224">
        <v>1996</v>
      </c>
      <c r="E90" s="224">
        <v>1997</v>
      </c>
      <c r="F90" s="224">
        <v>1998</v>
      </c>
      <c r="G90" s="224">
        <v>1999</v>
      </c>
      <c r="H90" s="224">
        <v>2000</v>
      </c>
      <c r="I90" s="224">
        <v>2001</v>
      </c>
      <c r="J90" s="224">
        <v>2002</v>
      </c>
      <c r="K90" s="224">
        <v>2003</v>
      </c>
      <c r="L90" s="224">
        <v>2004</v>
      </c>
      <c r="M90" s="224">
        <v>2005</v>
      </c>
      <c r="N90" s="224">
        <v>2006</v>
      </c>
      <c r="O90" s="224">
        <v>2007</v>
      </c>
      <c r="P90" s="224">
        <v>2008</v>
      </c>
      <c r="Q90" s="224">
        <v>2009</v>
      </c>
      <c r="R90" s="224">
        <v>2010</v>
      </c>
      <c r="S90" s="224">
        <v>2011</v>
      </c>
      <c r="T90" s="224">
        <v>2012</v>
      </c>
      <c r="U90" s="224">
        <v>2013</v>
      </c>
      <c r="V90" s="224">
        <v>2014</v>
      </c>
      <c r="W90" s="224">
        <v>2015</v>
      </c>
      <c r="X90" s="888" t="s">
        <v>478</v>
      </c>
      <c r="Y90" s="485"/>
      <c r="Z90" s="485"/>
      <c r="AA90" s="485"/>
      <c r="AB90" s="485"/>
      <c r="AC90" s="485"/>
      <c r="AD90" s="485"/>
      <c r="AE90" s="485"/>
      <c r="AF90" s="485"/>
      <c r="AG90" s="485"/>
      <c r="AH90" s="485"/>
      <c r="AI90" s="485"/>
      <c r="AJ90" s="485"/>
      <c r="AK90" s="485"/>
      <c r="AL90" s="485"/>
      <c r="AM90" s="485"/>
      <c r="AN90" s="485"/>
      <c r="AO90" s="485"/>
      <c r="AP90" s="485"/>
      <c r="AQ90" s="485"/>
      <c r="AR90" s="485"/>
      <c r="AS90" s="485"/>
      <c r="AT90" s="485"/>
      <c r="AU90" s="485"/>
      <c r="AV90" s="485"/>
    </row>
    <row r="91" spans="2:48" ht="13.5" thickBot="1" x14ac:dyDescent="0.3">
      <c r="B91" s="218" t="s">
        <v>64</v>
      </c>
      <c r="C91" s="225">
        <v>152.4</v>
      </c>
      <c r="D91" s="226">
        <v>156.9</v>
      </c>
      <c r="E91" s="226">
        <v>160.5</v>
      </c>
      <c r="F91" s="226">
        <v>163</v>
      </c>
      <c r="G91" s="226">
        <v>166.6</v>
      </c>
      <c r="H91" s="226">
        <v>172.2</v>
      </c>
      <c r="I91" s="226">
        <v>177.1</v>
      </c>
      <c r="J91" s="226">
        <v>179.9</v>
      </c>
      <c r="K91" s="226">
        <v>184</v>
      </c>
      <c r="L91" s="226">
        <v>188.9</v>
      </c>
      <c r="M91" s="226">
        <v>195.3</v>
      </c>
      <c r="N91" s="226">
        <v>201.6</v>
      </c>
      <c r="O91" s="227">
        <v>207.34200000000001</v>
      </c>
      <c r="P91" s="227">
        <v>215.303</v>
      </c>
      <c r="Q91" s="227">
        <v>214.53700000000001</v>
      </c>
      <c r="R91" s="227">
        <v>218.05600000000001</v>
      </c>
      <c r="S91" s="227">
        <v>224.93899999999999</v>
      </c>
      <c r="T91" s="227">
        <v>229.59399999999999</v>
      </c>
      <c r="U91" s="227">
        <v>232.95699999999999</v>
      </c>
      <c r="V91" s="227">
        <v>236.73599999999999</v>
      </c>
      <c r="W91" s="227">
        <v>237.017</v>
      </c>
      <c r="X91" s="489">
        <v>242.81</v>
      </c>
      <c r="Y91" s="487"/>
      <c r="Z91" s="487"/>
      <c r="AA91" s="487"/>
      <c r="AB91" s="487"/>
      <c r="AC91" s="487"/>
      <c r="AD91" s="487"/>
      <c r="AE91" s="487"/>
      <c r="AF91" s="487"/>
      <c r="AG91" s="487"/>
      <c r="AH91" s="487"/>
      <c r="AI91" s="487"/>
      <c r="AJ91" s="487"/>
      <c r="AK91" s="487"/>
      <c r="AL91" s="487"/>
      <c r="AM91" s="487"/>
      <c r="AN91" s="487"/>
      <c r="AO91" s="487"/>
      <c r="AP91" s="487"/>
      <c r="AQ91" s="487"/>
      <c r="AR91" s="487"/>
      <c r="AS91" s="487"/>
      <c r="AT91" s="487"/>
      <c r="AU91" s="487"/>
      <c r="AV91" s="487"/>
    </row>
    <row r="92" spans="2:48" s="221" customFormat="1" ht="25.5" x14ac:dyDescent="0.25">
      <c r="B92" s="219" t="s">
        <v>106</v>
      </c>
      <c r="M92" s="220">
        <f>(M91-L91)/L91</f>
        <v>3.3880359978824805E-2</v>
      </c>
      <c r="N92" s="220">
        <f>(N91-M91)/M91</f>
        <v>3.2258064516128941E-2</v>
      </c>
      <c r="O92" s="220">
        <f t="shared" ref="O92:X92" si="5">(O91-N91)/N91</f>
        <v>2.8482142857142949E-2</v>
      </c>
      <c r="P92" s="220">
        <f t="shared" si="5"/>
        <v>3.8395501152684856E-2</v>
      </c>
      <c r="Q92" s="220">
        <f t="shared" si="5"/>
        <v>-3.5577767146764846E-3</v>
      </c>
      <c r="R92" s="220">
        <f t="shared" si="5"/>
        <v>1.6402765024214963E-2</v>
      </c>
      <c r="S92" s="220">
        <f t="shared" si="5"/>
        <v>3.1565285981582626E-2</v>
      </c>
      <c r="T92" s="220">
        <f t="shared" si="5"/>
        <v>2.0694499397614471E-2</v>
      </c>
      <c r="U92" s="220">
        <f t="shared" si="5"/>
        <v>1.4647595320435202E-2</v>
      </c>
      <c r="V92" s="220">
        <f t="shared" si="5"/>
        <v>1.6221877857286952E-2</v>
      </c>
      <c r="W92" s="220">
        <f t="shared" si="5"/>
        <v>1.1869762097864538E-3</v>
      </c>
      <c r="X92" s="220">
        <f t="shared" si="5"/>
        <v>2.4441284802355977E-2</v>
      </c>
      <c r="Y92" s="488"/>
      <c r="Z92" s="488"/>
      <c r="AA92" s="488"/>
      <c r="AB92" s="488"/>
      <c r="AC92" s="488"/>
      <c r="AD92" s="488"/>
      <c r="AE92" s="488"/>
      <c r="AF92" s="488"/>
      <c r="AG92" s="488"/>
      <c r="AH92" s="488"/>
      <c r="AI92" s="488"/>
      <c r="AJ92" s="488"/>
      <c r="AK92" s="488"/>
      <c r="AL92" s="488"/>
      <c r="AM92" s="488"/>
      <c r="AN92" s="488"/>
      <c r="AO92" s="488"/>
      <c r="AP92" s="488"/>
      <c r="AQ92" s="488"/>
      <c r="AR92" s="488"/>
      <c r="AS92" s="488"/>
      <c r="AT92" s="488"/>
      <c r="AU92" s="488"/>
      <c r="AV92" s="488"/>
    </row>
    <row r="93" spans="2:48" x14ac:dyDescent="0.25">
      <c r="V93" s="222"/>
      <c r="W93" s="222"/>
      <c r="X93" s="486" t="s">
        <v>479</v>
      </c>
      <c r="Y93" s="486"/>
      <c r="Z93" s="486"/>
      <c r="AA93" s="486"/>
      <c r="AB93" s="486"/>
      <c r="AC93" s="486"/>
      <c r="AD93" s="486"/>
      <c r="AE93" s="486"/>
      <c r="AF93" s="486"/>
      <c r="AG93" s="486"/>
      <c r="AH93" s="486"/>
      <c r="AI93" s="486"/>
      <c r="AJ93" s="486"/>
      <c r="AK93" s="486"/>
      <c r="AL93" s="486"/>
      <c r="AM93" s="486"/>
      <c r="AN93" s="486"/>
      <c r="AO93" s="486"/>
      <c r="AP93" s="486"/>
      <c r="AQ93" s="486"/>
      <c r="AR93" s="486"/>
      <c r="AS93" s="486"/>
      <c r="AT93" s="486"/>
      <c r="AU93" s="486"/>
      <c r="AV93" s="486"/>
    </row>
    <row r="94" spans="2:48" x14ac:dyDescent="0.25">
      <c r="B94" s="32" t="s">
        <v>79</v>
      </c>
      <c r="C94" s="16"/>
      <c r="D94" s="16"/>
      <c r="E94" s="16"/>
      <c r="F94" s="16"/>
      <c r="V94" s="222"/>
      <c r="W94" s="222"/>
      <c r="X94" s="486" t="s">
        <v>475</v>
      </c>
      <c r="Y94" s="486"/>
      <c r="Z94" s="486"/>
      <c r="AA94" s="486"/>
      <c r="AB94" s="486"/>
      <c r="AC94" s="486"/>
      <c r="AD94" s="486"/>
      <c r="AE94" s="486"/>
      <c r="AF94" s="486"/>
      <c r="AG94" s="486"/>
      <c r="AH94" s="486"/>
      <c r="AI94" s="486"/>
      <c r="AJ94" s="486"/>
      <c r="AK94" s="486"/>
      <c r="AL94" s="486"/>
      <c r="AM94" s="486"/>
      <c r="AN94" s="486"/>
      <c r="AO94" s="486"/>
      <c r="AP94" s="486"/>
      <c r="AQ94" s="486"/>
      <c r="AR94" s="486"/>
      <c r="AS94" s="486"/>
      <c r="AT94" s="486"/>
      <c r="AU94" s="486"/>
      <c r="AV94" s="486"/>
    </row>
    <row r="95" spans="2:48" x14ac:dyDescent="0.25">
      <c r="B95" s="32" t="s">
        <v>80</v>
      </c>
      <c r="C95" s="16"/>
      <c r="D95" s="16"/>
      <c r="E95" s="16"/>
      <c r="F95" s="16"/>
      <c r="V95" s="222"/>
      <c r="W95" s="222"/>
      <c r="X95" s="486"/>
      <c r="Y95" s="486"/>
      <c r="Z95" s="486"/>
      <c r="AA95" s="486"/>
      <c r="AB95" s="486"/>
      <c r="AC95" s="486"/>
      <c r="AD95" s="486"/>
      <c r="AE95" s="486"/>
      <c r="AF95" s="486"/>
      <c r="AG95" s="486"/>
      <c r="AH95" s="486"/>
      <c r="AI95" s="486"/>
      <c r="AJ95" s="486"/>
      <c r="AK95" s="486"/>
      <c r="AL95" s="486"/>
      <c r="AM95" s="486"/>
      <c r="AN95" s="486"/>
      <c r="AO95" s="486"/>
      <c r="AP95" s="486"/>
      <c r="AQ95" s="486"/>
      <c r="AR95" s="486"/>
      <c r="AS95" s="486"/>
      <c r="AT95" s="486"/>
      <c r="AU95" s="486"/>
      <c r="AV95" s="486"/>
    </row>
    <row r="96" spans="2:48" x14ac:dyDescent="0.25">
      <c r="B96" s="17" t="s">
        <v>111</v>
      </c>
      <c r="X96" s="486"/>
      <c r="Y96" s="486"/>
      <c r="Z96" s="486"/>
      <c r="AA96" s="486"/>
      <c r="AB96" s="486"/>
      <c r="AC96" s="486"/>
      <c r="AD96" s="486"/>
      <c r="AE96" s="486"/>
      <c r="AF96" s="486"/>
      <c r="AG96" s="486"/>
      <c r="AH96" s="486"/>
      <c r="AI96" s="486"/>
      <c r="AJ96" s="486"/>
      <c r="AK96" s="486"/>
      <c r="AL96" s="486"/>
      <c r="AM96" s="486"/>
      <c r="AN96" s="486"/>
      <c r="AO96" s="486"/>
      <c r="AP96" s="486"/>
      <c r="AQ96" s="486"/>
      <c r="AR96" s="486"/>
      <c r="AS96" s="486"/>
      <c r="AT96" s="486"/>
      <c r="AU96" s="486"/>
      <c r="AV96" s="486"/>
    </row>
    <row r="97" spans="2:2" ht="15" x14ac:dyDescent="0.25">
      <c r="B97" t="s">
        <v>107</v>
      </c>
    </row>
  </sheetData>
  <mergeCells count="9">
    <mergeCell ref="C60:G60"/>
    <mergeCell ref="C61:G61"/>
    <mergeCell ref="C62:G62"/>
    <mergeCell ref="B54:G54"/>
    <mergeCell ref="B55:G55"/>
    <mergeCell ref="B56:G56"/>
    <mergeCell ref="C57:G57"/>
    <mergeCell ref="B58:G58"/>
    <mergeCell ref="C59:G5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M59"/>
  <sheetViews>
    <sheetView zoomScale="80" zoomScaleNormal="80" workbookViewId="0">
      <selection activeCell="D35" sqref="D35"/>
    </sheetView>
  </sheetViews>
  <sheetFormatPr defaultRowHeight="12.75" x14ac:dyDescent="0.2"/>
  <cols>
    <col min="1" max="1" width="4" style="728" customWidth="1"/>
    <col min="2" max="2" width="51.42578125" style="728" bestFit="1" customWidth="1"/>
    <col min="3" max="3" width="20.42578125" style="728" customWidth="1"/>
    <col min="4" max="4" width="19.140625" style="728" customWidth="1"/>
    <col min="5" max="5" width="17.5703125" style="728" customWidth="1"/>
    <col min="6" max="6" width="14" style="728" customWidth="1"/>
    <col min="7" max="7" width="10" style="728" bestFit="1" customWidth="1"/>
    <col min="8" max="8" width="19" style="728" customWidth="1"/>
    <col min="9" max="9" width="10.7109375" style="728" customWidth="1"/>
    <col min="10" max="10" width="11.42578125" style="728" customWidth="1"/>
    <col min="11" max="11" width="13.42578125" style="728" customWidth="1"/>
    <col min="12" max="12" width="13.28515625" style="728" customWidth="1"/>
    <col min="13" max="14" width="14.7109375" style="728" customWidth="1"/>
    <col min="15" max="16384" width="9.140625" style="728"/>
  </cols>
  <sheetData>
    <row r="2" spans="2:13" ht="18.75" x14ac:dyDescent="0.3">
      <c r="B2" s="1108" t="s">
        <v>676</v>
      </c>
      <c r="C2" s="1109"/>
    </row>
    <row r="3" spans="2:13" ht="12.75" customHeight="1" x14ac:dyDescent="0.2">
      <c r="B3" s="1301" t="s">
        <v>737</v>
      </c>
      <c r="C3" s="1302">
        <v>2015</v>
      </c>
      <c r="D3" s="1302"/>
      <c r="E3" s="1302"/>
      <c r="F3" s="1301">
        <v>2040</v>
      </c>
      <c r="G3" s="1301"/>
      <c r="H3" s="1301"/>
      <c r="I3" s="1115"/>
    </row>
    <row r="4" spans="2:13" s="727" customFormat="1" ht="25.5" x14ac:dyDescent="0.2">
      <c r="B4" s="1303"/>
      <c r="C4" s="1116" t="s">
        <v>658</v>
      </c>
      <c r="D4" s="1116" t="s">
        <v>639</v>
      </c>
      <c r="E4" s="1117" t="s">
        <v>659</v>
      </c>
      <c r="F4" s="1118" t="s">
        <v>658</v>
      </c>
      <c r="G4" s="1118" t="s">
        <v>639</v>
      </c>
      <c r="H4" s="1119" t="s">
        <v>659</v>
      </c>
      <c r="I4" s="1110" t="s">
        <v>619</v>
      </c>
    </row>
    <row r="5" spans="2:13" x14ac:dyDescent="0.2">
      <c r="B5" s="728" t="s">
        <v>615</v>
      </c>
      <c r="C5" s="956">
        <v>1534</v>
      </c>
      <c r="D5" s="956">
        <v>1410</v>
      </c>
      <c r="E5" s="1030">
        <f>D5/I5</f>
        <v>14100</v>
      </c>
      <c r="F5" s="956">
        <v>2839</v>
      </c>
      <c r="G5" s="956">
        <v>2825</v>
      </c>
      <c r="H5" s="1030">
        <f>G5/I5</f>
        <v>28250</v>
      </c>
      <c r="I5" s="1031">
        <v>0.1</v>
      </c>
    </row>
    <row r="6" spans="2:13" x14ac:dyDescent="0.2">
      <c r="B6" s="728" t="s">
        <v>616</v>
      </c>
      <c r="C6" s="956">
        <v>610</v>
      </c>
      <c r="D6" s="956">
        <v>986</v>
      </c>
      <c r="E6" s="1030">
        <f t="shared" ref="E6:E9" si="0">D6/I6</f>
        <v>9860</v>
      </c>
      <c r="F6" s="956">
        <v>1169</v>
      </c>
      <c r="G6" s="956">
        <v>1680</v>
      </c>
      <c r="H6" s="1030">
        <f t="shared" ref="H6:H9" si="1">G6/I6</f>
        <v>16800</v>
      </c>
      <c r="I6" s="1031">
        <v>0.1</v>
      </c>
    </row>
    <row r="7" spans="2:13" x14ac:dyDescent="0.2">
      <c r="B7" s="728" t="s">
        <v>617</v>
      </c>
      <c r="C7" s="956">
        <v>639</v>
      </c>
      <c r="D7" s="956">
        <v>734</v>
      </c>
      <c r="E7" s="1030">
        <f t="shared" si="0"/>
        <v>7340</v>
      </c>
      <c r="F7" s="956">
        <f>421+1893</f>
        <v>2314</v>
      </c>
      <c r="G7" s="956">
        <f>3592+1135</f>
        <v>4727</v>
      </c>
      <c r="H7" s="1030">
        <f t="shared" si="1"/>
        <v>47270</v>
      </c>
      <c r="I7" s="1031">
        <v>0.1</v>
      </c>
    </row>
    <row r="8" spans="2:13" x14ac:dyDescent="0.2">
      <c r="B8" s="728" t="s">
        <v>618</v>
      </c>
      <c r="C8" s="956">
        <v>399</v>
      </c>
      <c r="D8" s="956">
        <v>244</v>
      </c>
      <c r="E8" s="1030">
        <f t="shared" si="0"/>
        <v>2440</v>
      </c>
      <c r="F8" s="956">
        <v>2811</v>
      </c>
      <c r="G8" s="956">
        <v>2361</v>
      </c>
      <c r="H8" s="1030">
        <f t="shared" si="1"/>
        <v>23610</v>
      </c>
      <c r="I8" s="1031">
        <v>0.1</v>
      </c>
    </row>
    <row r="9" spans="2:13" x14ac:dyDescent="0.2">
      <c r="B9" s="1111" t="s">
        <v>5</v>
      </c>
      <c r="C9" s="1112">
        <f>SUM(C5:C8)</f>
        <v>3182</v>
      </c>
      <c r="D9" s="1112">
        <f t="shared" ref="D9:G9" si="2">SUM(D5:D8)</f>
        <v>3374</v>
      </c>
      <c r="E9" s="1113">
        <f t="shared" si="0"/>
        <v>33740</v>
      </c>
      <c r="F9" s="1112">
        <f t="shared" si="2"/>
        <v>9133</v>
      </c>
      <c r="G9" s="1112">
        <f t="shared" si="2"/>
        <v>11593</v>
      </c>
      <c r="H9" s="1113">
        <f t="shared" si="1"/>
        <v>115930</v>
      </c>
      <c r="I9" s="1114">
        <v>0.1</v>
      </c>
    </row>
    <row r="10" spans="2:13" x14ac:dyDescent="0.2">
      <c r="F10" s="728" t="s">
        <v>475</v>
      </c>
      <c r="L10" s="728" t="s">
        <v>475</v>
      </c>
      <c r="M10" s="728" t="s">
        <v>475</v>
      </c>
    </row>
    <row r="11" spans="2:13" ht="75" x14ac:dyDescent="0.2">
      <c r="B11" s="969" t="s">
        <v>7</v>
      </c>
      <c r="C11" s="969" t="s">
        <v>735</v>
      </c>
      <c r="D11" s="969" t="s">
        <v>736</v>
      </c>
    </row>
    <row r="12" spans="2:13" ht="15" x14ac:dyDescent="0.2">
      <c r="B12" s="1017">
        <v>2015</v>
      </c>
      <c r="C12" s="1035">
        <f>E9*(1-AVO!C23)*AVO!C8*AVO!E13*'Rates - Single'!C39</f>
        <v>1636139.4227819222</v>
      </c>
      <c r="D12" s="1035">
        <f>E9*(1-AVO!C23)*(1-AVO!E13)*'Rates - Single'!C38*AVO!G7</f>
        <v>17675110.014874008</v>
      </c>
      <c r="F12" s="728" t="s">
        <v>475</v>
      </c>
    </row>
    <row r="13" spans="2:13" ht="15" x14ac:dyDescent="0.2">
      <c r="B13" s="1017">
        <v>2016</v>
      </c>
      <c r="C13" s="956">
        <f>C12+(C$37-C$12)/($B$37-$B$12)</f>
        <v>1774005.7512909116</v>
      </c>
      <c r="D13" s="956">
        <f t="shared" ref="D13:D36" si="3">D12+(D$37-D$12)/($B$37-$B$12)</f>
        <v>18236914.370838154</v>
      </c>
    </row>
    <row r="14" spans="2:13" ht="15" x14ac:dyDescent="0.2">
      <c r="B14" s="1017">
        <v>2017</v>
      </c>
      <c r="C14" s="956">
        <f t="shared" ref="C14:C36" si="4">C13+(C$37-C$12)/($B$37-$B$12)</f>
        <v>1911872.079799901</v>
      </c>
      <c r="D14" s="956">
        <f t="shared" si="3"/>
        <v>18798718.726802301</v>
      </c>
    </row>
    <row r="15" spans="2:13" ht="15" x14ac:dyDescent="0.2">
      <c r="B15" s="1017">
        <v>2018</v>
      </c>
      <c r="C15" s="956">
        <f t="shared" si="4"/>
        <v>2049738.4083088904</v>
      </c>
      <c r="D15" s="956">
        <f t="shared" si="3"/>
        <v>19360523.082766447</v>
      </c>
    </row>
    <row r="16" spans="2:13" ht="15" x14ac:dyDescent="0.2">
      <c r="B16" s="1017">
        <v>2019</v>
      </c>
      <c r="C16" s="956">
        <f t="shared" si="4"/>
        <v>2187604.7368178796</v>
      </c>
      <c r="D16" s="956">
        <f t="shared" si="3"/>
        <v>19922327.438730594</v>
      </c>
      <c r="I16" s="1031"/>
    </row>
    <row r="17" spans="2:9" ht="15" x14ac:dyDescent="0.2">
      <c r="B17" s="1017">
        <v>2020</v>
      </c>
      <c r="C17" s="956">
        <f t="shared" si="4"/>
        <v>2325471.065326869</v>
      </c>
      <c r="D17" s="956">
        <f t="shared" si="3"/>
        <v>20484131.79469474</v>
      </c>
    </row>
    <row r="18" spans="2:9" ht="15" x14ac:dyDescent="0.2">
      <c r="B18" s="1017">
        <v>2021</v>
      </c>
      <c r="C18" s="956">
        <f t="shared" si="4"/>
        <v>2463337.3938358584</v>
      </c>
      <c r="D18" s="956">
        <f t="shared" si="3"/>
        <v>21045936.150658887</v>
      </c>
      <c r="I18" s="1031"/>
    </row>
    <row r="19" spans="2:9" ht="15" x14ac:dyDescent="0.2">
      <c r="B19" s="1017">
        <v>2022</v>
      </c>
      <c r="C19" s="956">
        <f t="shared" si="4"/>
        <v>2601203.7223448479</v>
      </c>
      <c r="D19" s="956">
        <f t="shared" si="3"/>
        <v>21607740.506623033</v>
      </c>
      <c r="I19" s="1031"/>
    </row>
    <row r="20" spans="2:9" ht="15" x14ac:dyDescent="0.2">
      <c r="B20" s="1017">
        <v>2023</v>
      </c>
      <c r="C20" s="956">
        <f t="shared" si="4"/>
        <v>2739070.0508538373</v>
      </c>
      <c r="D20" s="956">
        <f t="shared" si="3"/>
        <v>22169544.86258718</v>
      </c>
      <c r="I20" s="1031"/>
    </row>
    <row r="21" spans="2:9" ht="15" x14ac:dyDescent="0.2">
      <c r="B21" s="1017">
        <v>2024</v>
      </c>
      <c r="C21" s="956">
        <f t="shared" si="4"/>
        <v>2876936.3793628267</v>
      </c>
      <c r="D21" s="956">
        <f t="shared" si="3"/>
        <v>22731349.218551327</v>
      </c>
      <c r="I21" s="1032"/>
    </row>
    <row r="22" spans="2:9" ht="15" x14ac:dyDescent="0.2">
      <c r="B22" s="1017">
        <v>2025</v>
      </c>
      <c r="C22" s="956">
        <f t="shared" si="4"/>
        <v>3014802.7078718161</v>
      </c>
      <c r="D22" s="956">
        <f t="shared" si="3"/>
        <v>23293153.574515473</v>
      </c>
      <c r="I22" s="1032"/>
    </row>
    <row r="23" spans="2:9" ht="15" x14ac:dyDescent="0.2">
      <c r="B23" s="1017">
        <v>2026</v>
      </c>
      <c r="C23" s="956">
        <f t="shared" si="4"/>
        <v>3152669.0363808055</v>
      </c>
      <c r="D23" s="956">
        <f t="shared" si="3"/>
        <v>23854957.93047962</v>
      </c>
    </row>
    <row r="24" spans="2:9" ht="15" x14ac:dyDescent="0.2">
      <c r="B24" s="1017">
        <v>2027</v>
      </c>
      <c r="C24" s="956">
        <f t="shared" si="4"/>
        <v>3290535.364889795</v>
      </c>
      <c r="D24" s="956">
        <f t="shared" si="3"/>
        <v>24416762.286443766</v>
      </c>
    </row>
    <row r="25" spans="2:9" ht="15" x14ac:dyDescent="0.2">
      <c r="B25" s="1017">
        <v>2028</v>
      </c>
      <c r="C25" s="956">
        <f t="shared" si="4"/>
        <v>3428401.6933987844</v>
      </c>
      <c r="D25" s="956">
        <f t="shared" si="3"/>
        <v>24978566.642407913</v>
      </c>
    </row>
    <row r="26" spans="2:9" ht="15" x14ac:dyDescent="0.2">
      <c r="B26" s="1017">
        <v>2029</v>
      </c>
      <c r="C26" s="956">
        <f t="shared" si="4"/>
        <v>3566268.0219077738</v>
      </c>
      <c r="D26" s="956">
        <f t="shared" si="3"/>
        <v>25540370.998372059</v>
      </c>
    </row>
    <row r="27" spans="2:9" ht="15" x14ac:dyDescent="0.2">
      <c r="B27" s="1017">
        <v>2030</v>
      </c>
      <c r="C27" s="956">
        <f t="shared" si="4"/>
        <v>3704134.3504167632</v>
      </c>
      <c r="D27" s="956">
        <f t="shared" si="3"/>
        <v>26102175.354336206</v>
      </c>
    </row>
    <row r="28" spans="2:9" ht="15" x14ac:dyDescent="0.2">
      <c r="B28" s="1017">
        <v>2031</v>
      </c>
      <c r="C28" s="956">
        <f t="shared" si="4"/>
        <v>3842000.6789257526</v>
      </c>
      <c r="D28" s="956">
        <f t="shared" si="3"/>
        <v>26663979.710300352</v>
      </c>
    </row>
    <row r="29" spans="2:9" ht="15" x14ac:dyDescent="0.2">
      <c r="B29" s="1017">
        <v>2032</v>
      </c>
      <c r="C29" s="956">
        <f t="shared" si="4"/>
        <v>3979867.0074347421</v>
      </c>
      <c r="D29" s="956">
        <f t="shared" si="3"/>
        <v>27225784.066264499</v>
      </c>
    </row>
    <row r="30" spans="2:9" ht="15" x14ac:dyDescent="0.2">
      <c r="B30" s="1017">
        <v>2033</v>
      </c>
      <c r="C30" s="956">
        <f t="shared" si="4"/>
        <v>4117733.3359437315</v>
      </c>
      <c r="D30" s="956">
        <f t="shared" si="3"/>
        <v>27787588.422228646</v>
      </c>
    </row>
    <row r="31" spans="2:9" ht="15" x14ac:dyDescent="0.2">
      <c r="B31" s="1017">
        <v>2034</v>
      </c>
      <c r="C31" s="956">
        <f t="shared" si="4"/>
        <v>4255599.6644527204</v>
      </c>
      <c r="D31" s="956">
        <f t="shared" si="3"/>
        <v>28349392.778192792</v>
      </c>
    </row>
    <row r="32" spans="2:9" ht="15" x14ac:dyDescent="0.2">
      <c r="B32" s="1017">
        <v>2035</v>
      </c>
      <c r="C32" s="956">
        <f t="shared" si="4"/>
        <v>4393465.9929617094</v>
      </c>
      <c r="D32" s="956">
        <f t="shared" si="3"/>
        <v>28911197.134156939</v>
      </c>
    </row>
    <row r="33" spans="2:4" ht="15" x14ac:dyDescent="0.2">
      <c r="B33" s="1017">
        <v>2036</v>
      </c>
      <c r="C33" s="956">
        <f t="shared" si="4"/>
        <v>4531332.3214706983</v>
      </c>
      <c r="D33" s="956">
        <f t="shared" si="3"/>
        <v>29473001.490121085</v>
      </c>
    </row>
    <row r="34" spans="2:4" ht="15" x14ac:dyDescent="0.2">
      <c r="B34" s="1017">
        <v>2037</v>
      </c>
      <c r="C34" s="956">
        <f t="shared" si="4"/>
        <v>4669198.6499796873</v>
      </c>
      <c r="D34" s="956">
        <f t="shared" si="3"/>
        <v>30034805.846085232</v>
      </c>
    </row>
    <row r="35" spans="2:4" ht="15" x14ac:dyDescent="0.2">
      <c r="B35" s="1017">
        <v>2038</v>
      </c>
      <c r="C35" s="956">
        <f t="shared" si="4"/>
        <v>4807064.9784886762</v>
      </c>
      <c r="D35" s="956">
        <f t="shared" si="3"/>
        <v>30596610.202049378</v>
      </c>
    </row>
    <row r="36" spans="2:4" ht="15" x14ac:dyDescent="0.2">
      <c r="B36" s="1017">
        <v>2039</v>
      </c>
      <c r="C36" s="956">
        <f t="shared" si="4"/>
        <v>4944931.3069976652</v>
      </c>
      <c r="D36" s="956">
        <f t="shared" si="3"/>
        <v>31158414.558013525</v>
      </c>
    </row>
    <row r="37" spans="2:4" ht="15" x14ac:dyDescent="0.2">
      <c r="B37" s="1017">
        <v>2040</v>
      </c>
      <c r="C37" s="1088">
        <f>H9*(1-AVO!C22)*AVO!E13*'Rates - Single'!C39</f>
        <v>5082797.635506657</v>
      </c>
      <c r="D37" s="1088">
        <f>H9*(1-AVO!C22)*(1-AVO!E13)*'Rates - Single'!C38</f>
        <v>31720218.913977664</v>
      </c>
    </row>
    <row r="38" spans="2:4" ht="15" x14ac:dyDescent="0.2">
      <c r="B38" s="1017">
        <f>B37+1</f>
        <v>2041</v>
      </c>
      <c r="C38" s="1088">
        <f>C37*'Rates - Single'!$C$212</f>
        <v>5082797.635506657</v>
      </c>
      <c r="D38" s="1088">
        <f>D37*'Rates - Single'!$C$212</f>
        <v>31720218.913977664</v>
      </c>
    </row>
    <row r="39" spans="2:4" ht="15" x14ac:dyDescent="0.2">
      <c r="B39" s="1017">
        <f t="shared" ref="B39:B51" si="5">B38+1</f>
        <v>2042</v>
      </c>
      <c r="C39" s="1088">
        <f>C38*'Rates - Single'!$C$212</f>
        <v>5082797.635506657</v>
      </c>
      <c r="D39" s="1088">
        <f>D38*'Rates - Single'!$C$212</f>
        <v>31720218.913977664</v>
      </c>
    </row>
    <row r="40" spans="2:4" ht="15" x14ac:dyDescent="0.2">
      <c r="B40" s="1017">
        <f t="shared" si="5"/>
        <v>2043</v>
      </c>
      <c r="C40" s="1088">
        <f>C39*'Rates - Single'!$C$212</f>
        <v>5082797.635506657</v>
      </c>
      <c r="D40" s="1088">
        <f>D39*'Rates - Single'!$C$212</f>
        <v>31720218.913977664</v>
      </c>
    </row>
    <row r="41" spans="2:4" ht="15" x14ac:dyDescent="0.2">
      <c r="B41" s="1017">
        <f t="shared" si="5"/>
        <v>2044</v>
      </c>
      <c r="C41" s="1088">
        <f>C40*'Rates - Single'!$C$212</f>
        <v>5082797.635506657</v>
      </c>
      <c r="D41" s="1088">
        <f>D40*'Rates - Single'!$C$212</f>
        <v>31720218.913977664</v>
      </c>
    </row>
    <row r="42" spans="2:4" ht="15" x14ac:dyDescent="0.2">
      <c r="B42" s="1017">
        <f t="shared" si="5"/>
        <v>2045</v>
      </c>
      <c r="C42" s="1088">
        <f>C41*'Rates - Single'!$C$212</f>
        <v>5082797.635506657</v>
      </c>
      <c r="D42" s="1088">
        <f>D41*'Rates - Single'!$C$212</f>
        <v>31720218.913977664</v>
      </c>
    </row>
    <row r="43" spans="2:4" ht="15" x14ac:dyDescent="0.2">
      <c r="B43" s="1017">
        <f t="shared" si="5"/>
        <v>2046</v>
      </c>
      <c r="C43" s="1088">
        <f>C42*'Rates - Single'!$C$212</f>
        <v>5082797.635506657</v>
      </c>
      <c r="D43" s="1088">
        <f>D42*'Rates - Single'!$C$212</f>
        <v>31720218.913977664</v>
      </c>
    </row>
    <row r="44" spans="2:4" ht="15" x14ac:dyDescent="0.2">
      <c r="B44" s="1017">
        <f t="shared" si="5"/>
        <v>2047</v>
      </c>
      <c r="C44" s="1088">
        <f>C43*'Rates - Single'!$C$212</f>
        <v>5082797.635506657</v>
      </c>
      <c r="D44" s="1088">
        <f>D43*'Rates - Single'!$C$212</f>
        <v>31720218.913977664</v>
      </c>
    </row>
    <row r="45" spans="2:4" ht="15" x14ac:dyDescent="0.2">
      <c r="B45" s="1017">
        <f t="shared" si="5"/>
        <v>2048</v>
      </c>
      <c r="C45" s="1088">
        <f>C44*'Rates - Single'!$C$212</f>
        <v>5082797.635506657</v>
      </c>
      <c r="D45" s="1088">
        <f>D44*'Rates - Single'!$C$212</f>
        <v>31720218.913977664</v>
      </c>
    </row>
    <row r="46" spans="2:4" ht="15" x14ac:dyDescent="0.2">
      <c r="B46" s="1017">
        <f t="shared" si="5"/>
        <v>2049</v>
      </c>
      <c r="C46" s="1088">
        <f>C45*'Rates - Single'!$C$212</f>
        <v>5082797.635506657</v>
      </c>
      <c r="D46" s="1088">
        <f>D45*'Rates - Single'!$C$212</f>
        <v>31720218.913977664</v>
      </c>
    </row>
    <row r="47" spans="2:4" ht="15" x14ac:dyDescent="0.2">
      <c r="B47" s="1017">
        <f t="shared" si="5"/>
        <v>2050</v>
      </c>
      <c r="C47" s="1088">
        <f>C46*'Rates - Single'!$C$212</f>
        <v>5082797.635506657</v>
      </c>
      <c r="D47" s="1088">
        <f>D46*'Rates - Single'!$C$212</f>
        <v>31720218.913977664</v>
      </c>
    </row>
    <row r="48" spans="2:4" ht="15" x14ac:dyDescent="0.2">
      <c r="B48" s="1017">
        <f t="shared" si="5"/>
        <v>2051</v>
      </c>
      <c r="C48" s="1088">
        <f>C47*'Rates - Single'!$C$212</f>
        <v>5082797.635506657</v>
      </c>
      <c r="D48" s="1088">
        <f>D47*'Rates - Single'!$C$212</f>
        <v>31720218.913977664</v>
      </c>
    </row>
    <row r="49" spans="2:4" ht="15" x14ac:dyDescent="0.2">
      <c r="B49" s="1017">
        <f t="shared" si="5"/>
        <v>2052</v>
      </c>
      <c r="C49" s="1088">
        <f>C48*'Rates - Single'!$C$212</f>
        <v>5082797.635506657</v>
      </c>
      <c r="D49" s="1088">
        <f>D48*'Rates - Single'!$C$212</f>
        <v>31720218.913977664</v>
      </c>
    </row>
    <row r="50" spans="2:4" ht="15" x14ac:dyDescent="0.2">
      <c r="B50" s="1017">
        <f t="shared" si="5"/>
        <v>2053</v>
      </c>
      <c r="C50" s="1088">
        <f>C49*'Rates - Single'!$C$212</f>
        <v>5082797.635506657</v>
      </c>
      <c r="D50" s="1088">
        <f>D49*'Rates - Single'!$C$212</f>
        <v>31720218.913977664</v>
      </c>
    </row>
    <row r="51" spans="2:4" ht="15" x14ac:dyDescent="0.2">
      <c r="B51" s="1017">
        <f t="shared" si="5"/>
        <v>2054</v>
      </c>
      <c r="C51" s="1088">
        <f>C50*'Rates - Single'!$C$212</f>
        <v>5082797.635506657</v>
      </c>
      <c r="D51" s="1088">
        <f>D50*'Rates - Single'!$C$212</f>
        <v>31720218.913977664</v>
      </c>
    </row>
    <row r="52" spans="2:4" ht="15" x14ac:dyDescent="0.2">
      <c r="B52" s="1017">
        <f t="shared" ref="B52:B58" si="6">B51+1</f>
        <v>2055</v>
      </c>
      <c r="C52" s="1088">
        <f>C51*'Rates - Single'!$C$212</f>
        <v>5082797.635506657</v>
      </c>
      <c r="D52" s="1088">
        <f>D51*'Rates - Single'!$C$212</f>
        <v>31720218.913977664</v>
      </c>
    </row>
    <row r="53" spans="2:4" ht="15" x14ac:dyDescent="0.2">
      <c r="B53" s="1017">
        <f t="shared" si="6"/>
        <v>2056</v>
      </c>
      <c r="C53" s="1088">
        <f>C52*'Rates - Single'!$C$212</f>
        <v>5082797.635506657</v>
      </c>
      <c r="D53" s="1088">
        <f>D52*'Rates - Single'!$C$212</f>
        <v>31720218.913977664</v>
      </c>
    </row>
    <row r="54" spans="2:4" ht="15" x14ac:dyDescent="0.2">
      <c r="B54" s="1017">
        <f t="shared" si="6"/>
        <v>2057</v>
      </c>
      <c r="C54" s="1088">
        <f>C53*'Rates - Single'!$C$212</f>
        <v>5082797.635506657</v>
      </c>
      <c r="D54" s="1088">
        <f>D53*'Rates - Single'!$C$212</f>
        <v>31720218.913977664</v>
      </c>
    </row>
    <row r="55" spans="2:4" ht="15" x14ac:dyDescent="0.2">
      <c r="B55" s="1017">
        <f t="shared" si="6"/>
        <v>2058</v>
      </c>
      <c r="C55" s="1088">
        <f>C54*'Rates - Single'!$C$212</f>
        <v>5082797.635506657</v>
      </c>
      <c r="D55" s="1088">
        <f>D54*'Rates - Single'!$C$212</f>
        <v>31720218.913977664</v>
      </c>
    </row>
    <row r="56" spans="2:4" ht="15" x14ac:dyDescent="0.2">
      <c r="B56" s="1017">
        <f t="shared" si="6"/>
        <v>2059</v>
      </c>
      <c r="C56" s="1088">
        <f>C55*'Rates - Single'!$C$212</f>
        <v>5082797.635506657</v>
      </c>
      <c r="D56" s="1088">
        <f>D55*'Rates - Single'!$C$212</f>
        <v>31720218.913977664</v>
      </c>
    </row>
    <row r="57" spans="2:4" ht="15" x14ac:dyDescent="0.2">
      <c r="B57" s="1017">
        <f t="shared" si="6"/>
        <v>2060</v>
      </c>
      <c r="C57" s="1088">
        <f>C56*'Rates - Single'!$C$212</f>
        <v>5082797.635506657</v>
      </c>
      <c r="D57" s="1088">
        <f>D56*'Rates - Single'!$C$212</f>
        <v>31720218.913977664</v>
      </c>
    </row>
    <row r="58" spans="2:4" ht="15.75" thickBot="1" x14ac:dyDescent="0.25">
      <c r="B58" s="1021">
        <f t="shared" si="6"/>
        <v>2061</v>
      </c>
      <c r="C58" s="1089">
        <f>C57*'Rates - Single'!$C$212</f>
        <v>5082797.635506657</v>
      </c>
      <c r="D58" s="1089">
        <f>D57*'Rates - Single'!$C$212</f>
        <v>31720218.913977664</v>
      </c>
    </row>
    <row r="59" spans="2:4" ht="13.5" thickTop="1" x14ac:dyDescent="0.2"/>
  </sheetData>
  <mergeCells count="3">
    <mergeCell ref="F3:H3"/>
    <mergeCell ref="C3:E3"/>
    <mergeCell ref="B3:B4"/>
  </mergeCells>
  <pageMargins left="0.7" right="0.7" top="0.75" bottom="0.75" header="0.3" footer="0.3"/>
  <ignoredErrors>
    <ignoredError sqref="E9"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1:N530"/>
  <sheetViews>
    <sheetView tabSelected="1" workbookViewId="0">
      <selection activeCell="C23" sqref="C23"/>
    </sheetView>
  </sheetViews>
  <sheetFormatPr defaultRowHeight="15" x14ac:dyDescent="0.25"/>
  <cols>
    <col min="1" max="1" width="9.140625" style="1082"/>
    <col min="2" max="2" width="22.28515625" style="1082" bestFit="1" customWidth="1"/>
    <col min="3" max="3" width="9.140625" style="1082"/>
    <col min="4" max="6" width="11.5703125" style="1082" bestFit="1" customWidth="1"/>
    <col min="7" max="7" width="10.5703125" style="1082" bestFit="1" customWidth="1"/>
    <col min="8" max="8" width="12.42578125" style="324" customWidth="1"/>
    <col min="9" max="9" width="12.5703125" style="324" bestFit="1" customWidth="1"/>
    <col min="10" max="10" width="10.42578125" style="1082" bestFit="1" customWidth="1"/>
    <col min="11" max="11" width="9.140625" style="1082"/>
    <col min="12" max="12" width="10.42578125" style="1082" customWidth="1"/>
    <col min="13" max="13" width="10.140625" style="1082" customWidth="1"/>
    <col min="14" max="14" width="11" style="1082" customWidth="1"/>
    <col min="15" max="16384" width="9.140625" style="1082"/>
  </cols>
  <sheetData>
    <row r="1" spans="2:14" ht="60" x14ac:dyDescent="0.25">
      <c r="B1" s="1075" t="s">
        <v>738</v>
      </c>
      <c r="C1" s="1075" t="s">
        <v>739</v>
      </c>
      <c r="D1" s="1160" t="s">
        <v>740</v>
      </c>
      <c r="E1" s="1160" t="s">
        <v>741</v>
      </c>
      <c r="F1" s="1160" t="s">
        <v>742</v>
      </c>
      <c r="G1" s="1160" t="s">
        <v>743</v>
      </c>
      <c r="H1" s="1074" t="s">
        <v>762</v>
      </c>
      <c r="I1" s="1074" t="s">
        <v>763</v>
      </c>
      <c r="J1" s="1074" t="s">
        <v>764</v>
      </c>
      <c r="L1" s="1124" t="s">
        <v>760</v>
      </c>
      <c r="M1" s="1124" t="s">
        <v>761</v>
      </c>
      <c r="N1" s="1124" t="s">
        <v>765</v>
      </c>
    </row>
    <row r="2" spans="2:14" x14ac:dyDescent="0.25">
      <c r="L2" s="1083">
        <v>2</v>
      </c>
      <c r="M2" s="1083">
        <v>2</v>
      </c>
      <c r="N2" s="1125">
        <v>0.3</v>
      </c>
    </row>
    <row r="3" spans="2:14" x14ac:dyDescent="0.25">
      <c r="B3" s="1082" t="s">
        <v>744</v>
      </c>
      <c r="C3" s="1082" t="s">
        <v>745</v>
      </c>
      <c r="D3" s="897">
        <v>128102.20999999999</v>
      </c>
      <c r="E3" s="897">
        <v>125736.73000000001</v>
      </c>
      <c r="F3" s="897">
        <v>104628.97</v>
      </c>
      <c r="G3" s="897">
        <v>76216.360000000015</v>
      </c>
      <c r="H3" s="1120">
        <f>E3*$L$2+D3*$M$2</f>
        <v>507677.88</v>
      </c>
      <c r="I3" s="1120">
        <f>G3*$L$2+F3*$M$2</f>
        <v>361690.66000000003</v>
      </c>
      <c r="J3" s="898"/>
      <c r="L3" s="1401" t="s">
        <v>835</v>
      </c>
    </row>
    <row r="4" spans="2:14" x14ac:dyDescent="0.25">
      <c r="B4" s="1082" t="s">
        <v>744</v>
      </c>
      <c r="C4" s="1082" t="s">
        <v>406</v>
      </c>
      <c r="D4" s="897">
        <v>12176.83</v>
      </c>
      <c r="E4" s="897">
        <v>12046.84</v>
      </c>
      <c r="F4" s="897">
        <v>8859.85</v>
      </c>
      <c r="G4" s="897">
        <v>5802.1</v>
      </c>
      <c r="H4" s="1120">
        <f>E4*$L$2+D4*$M$2</f>
        <v>48447.34</v>
      </c>
      <c r="I4" s="1120">
        <f t="shared" ref="I4:I6" si="0">G4*$L$2+F4*$M$2</f>
        <v>29323.9</v>
      </c>
      <c r="J4" s="1121"/>
      <c r="K4" s="899"/>
      <c r="L4" s="899"/>
    </row>
    <row r="5" spans="2:14" x14ac:dyDescent="0.25">
      <c r="B5" s="1082" t="s">
        <v>744</v>
      </c>
      <c r="C5" s="1082" t="s">
        <v>746</v>
      </c>
      <c r="D5" s="897">
        <v>12.54</v>
      </c>
      <c r="E5" s="897">
        <v>12.22</v>
      </c>
      <c r="F5" s="897">
        <v>0</v>
      </c>
      <c r="G5" s="897">
        <v>0</v>
      </c>
      <c r="H5" s="1120">
        <f>E5*$L$2+D5*$M$2</f>
        <v>49.519999999999996</v>
      </c>
      <c r="I5" s="1120">
        <f t="shared" si="0"/>
        <v>0</v>
      </c>
      <c r="J5" s="898"/>
    </row>
    <row r="6" spans="2:14" x14ac:dyDescent="0.25">
      <c r="B6" s="1082" t="s">
        <v>744</v>
      </c>
      <c r="C6" s="1082" t="s">
        <v>747</v>
      </c>
      <c r="D6" s="897">
        <v>140291.59</v>
      </c>
      <c r="E6" s="897">
        <v>137795.79</v>
      </c>
      <c r="F6" s="897">
        <v>113488.82</v>
      </c>
      <c r="G6" s="897">
        <v>82018.460000000006</v>
      </c>
      <c r="H6" s="1120">
        <f>E6*$L$2+D6*$M$2</f>
        <v>556174.76</v>
      </c>
      <c r="I6" s="1120">
        <f t="shared" si="0"/>
        <v>391014.56000000006</v>
      </c>
      <c r="J6" s="898"/>
    </row>
    <row r="7" spans="2:14" x14ac:dyDescent="0.25">
      <c r="D7" s="897"/>
      <c r="E7" s="897"/>
      <c r="F7" s="897"/>
      <c r="G7" s="897"/>
    </row>
    <row r="8" spans="2:14" x14ac:dyDescent="0.25">
      <c r="B8" s="1082" t="s">
        <v>748</v>
      </c>
      <c r="C8" s="1082" t="s">
        <v>745</v>
      </c>
      <c r="D8" s="897">
        <v>3626.7704083333333</v>
      </c>
      <c r="E8" s="897">
        <v>4016.0777138888889</v>
      </c>
      <c r="F8" s="897">
        <v>7104.3285527777771</v>
      </c>
      <c r="G8" s="897">
        <v>8132.2515527777778</v>
      </c>
      <c r="H8" s="1120">
        <f t="shared" ref="H8:H11" si="1">E8*$L$2+D8*$M$2</f>
        <v>15285.696244444443</v>
      </c>
      <c r="I8" s="1120">
        <f>G8*$L$2+F8*$M$2</f>
        <v>30473.16021111111</v>
      </c>
      <c r="J8" s="898"/>
    </row>
    <row r="9" spans="2:14" x14ac:dyDescent="0.25">
      <c r="B9" s="1082" t="s">
        <v>748</v>
      </c>
      <c r="C9" s="1082" t="s">
        <v>406</v>
      </c>
      <c r="D9" s="897">
        <v>389.20081111111108</v>
      </c>
      <c r="E9" s="897">
        <v>423.40412499999996</v>
      </c>
      <c r="F9" s="897">
        <v>804.96596388888895</v>
      </c>
      <c r="G9" s="897">
        <v>889.76969166666652</v>
      </c>
      <c r="H9" s="1120">
        <f t="shared" si="1"/>
        <v>1625.2098722222222</v>
      </c>
      <c r="I9" s="1120">
        <f t="shared" ref="I9:I11" si="2">G9*$L$2+F9*$M$2</f>
        <v>3389.4713111111109</v>
      </c>
      <c r="J9" s="898"/>
      <c r="L9" s="1082" t="s">
        <v>475</v>
      </c>
    </row>
    <row r="10" spans="2:14" x14ac:dyDescent="0.25">
      <c r="B10" s="1082" t="s">
        <v>748</v>
      </c>
      <c r="C10" s="1082" t="s">
        <v>746</v>
      </c>
      <c r="D10" s="897">
        <v>0.81143055555555554</v>
      </c>
      <c r="E10" s="897">
        <v>0.80393055555555559</v>
      </c>
      <c r="F10" s="897">
        <v>0</v>
      </c>
      <c r="G10" s="897">
        <v>0</v>
      </c>
      <c r="H10" s="1120">
        <f t="shared" si="1"/>
        <v>3.2307222222222221</v>
      </c>
      <c r="I10" s="1120">
        <f t="shared" si="2"/>
        <v>0</v>
      </c>
      <c r="J10" s="898"/>
    </row>
    <row r="11" spans="2:14" x14ac:dyDescent="0.25">
      <c r="B11" s="1082" t="s">
        <v>748</v>
      </c>
      <c r="C11" s="1082" t="s">
        <v>747</v>
      </c>
      <c r="D11" s="897">
        <v>4016.7826444444445</v>
      </c>
      <c r="E11" s="897">
        <v>4440.2857638888891</v>
      </c>
      <c r="F11" s="897">
        <v>7909.2945527777783</v>
      </c>
      <c r="G11" s="897">
        <v>9022.0212833333335</v>
      </c>
      <c r="H11" s="1120">
        <f t="shared" si="1"/>
        <v>16914.136816666665</v>
      </c>
      <c r="I11" s="1120">
        <f t="shared" si="2"/>
        <v>33862.631672222225</v>
      </c>
      <c r="J11" s="898"/>
    </row>
    <row r="12" spans="2:14" x14ac:dyDescent="0.25">
      <c r="D12" s="897"/>
      <c r="E12" s="897"/>
      <c r="F12" s="897"/>
      <c r="G12" s="897"/>
      <c r="H12" s="324" t="s">
        <v>475</v>
      </c>
      <c r="M12" s="1082" t="s">
        <v>475</v>
      </c>
    </row>
    <row r="13" spans="2:14" x14ac:dyDescent="0.25">
      <c r="B13" s="1082" t="s">
        <v>749</v>
      </c>
      <c r="C13" s="1082" t="s">
        <v>745</v>
      </c>
      <c r="D13" s="897">
        <f t="shared" ref="D13:G16" si="3">D3/D8</f>
        <v>35.321290177524311</v>
      </c>
      <c r="E13" s="897">
        <f t="shared" si="3"/>
        <v>31.308340863315951</v>
      </c>
      <c r="F13" s="897">
        <f t="shared" si="3"/>
        <v>14.727495951618158</v>
      </c>
      <c r="G13" s="897">
        <f t="shared" si="3"/>
        <v>9.3721104795345855</v>
      </c>
      <c r="K13" s="1082" t="s">
        <v>475</v>
      </c>
    </row>
    <row r="14" spans="2:14" x14ac:dyDescent="0.25">
      <c r="B14" s="1082" t="s">
        <v>749</v>
      </c>
      <c r="C14" s="1082" t="s">
        <v>406</v>
      </c>
      <c r="D14" s="897">
        <f t="shared" si="3"/>
        <v>31.28675391306853</v>
      </c>
      <c r="E14" s="897">
        <f t="shared" si="3"/>
        <v>28.45234443570903</v>
      </c>
      <c r="F14" s="897">
        <f t="shared" si="3"/>
        <v>11.006490208849305</v>
      </c>
      <c r="G14" s="897">
        <f t="shared" si="3"/>
        <v>6.5209009189016465</v>
      </c>
    </row>
    <row r="15" spans="2:14" x14ac:dyDescent="0.25">
      <c r="B15" s="1082" t="s">
        <v>749</v>
      </c>
      <c r="C15" s="1082" t="s">
        <v>746</v>
      </c>
      <c r="D15" s="897">
        <f t="shared" si="3"/>
        <v>15.454187563117264</v>
      </c>
      <c r="E15" s="897">
        <f t="shared" si="3"/>
        <v>15.200317882625296</v>
      </c>
      <c r="F15" s="897" t="e">
        <f t="shared" si="3"/>
        <v>#DIV/0!</v>
      </c>
      <c r="G15" s="897" t="e">
        <f t="shared" si="3"/>
        <v>#DIV/0!</v>
      </c>
      <c r="J15" s="1082" t="s">
        <v>475</v>
      </c>
    </row>
    <row r="16" spans="2:14" x14ac:dyDescent="0.25">
      <c r="B16" s="1082" t="s">
        <v>749</v>
      </c>
      <c r="C16" s="1082" t="s">
        <v>747</v>
      </c>
      <c r="D16" s="897">
        <f t="shared" si="3"/>
        <v>34.926358336574502</v>
      </c>
      <c r="E16" s="897">
        <f t="shared" si="3"/>
        <v>31.0330905097684</v>
      </c>
      <c r="F16" s="897">
        <f t="shared" si="3"/>
        <v>14.348791695985357</v>
      </c>
      <c r="G16" s="897">
        <f t="shared" si="3"/>
        <v>9.0909184787133359</v>
      </c>
    </row>
    <row r="17" spans="2:14" x14ac:dyDescent="0.25">
      <c r="D17" s="897"/>
      <c r="E17" s="897"/>
      <c r="F17" s="897"/>
      <c r="G17" s="897"/>
      <c r="J17" s="1082" t="s">
        <v>475</v>
      </c>
    </row>
    <row r="18" spans="2:14" x14ac:dyDescent="0.25">
      <c r="B18" s="1082" t="s">
        <v>750</v>
      </c>
      <c r="C18" s="1082" t="s">
        <v>745</v>
      </c>
      <c r="D18" s="897">
        <v>1185.355</v>
      </c>
      <c r="E18" s="897">
        <v>1584.5034611111112</v>
      </c>
      <c r="F18" s="897">
        <v>5051.4401333333335</v>
      </c>
      <c r="G18" s="897">
        <v>6647.5749611111096</v>
      </c>
      <c r="H18" s="1120">
        <f t="shared" ref="H18:H21" si="4">E18*$L$2+D18*$M$2</f>
        <v>5539.7169222222219</v>
      </c>
      <c r="I18" s="1120">
        <f>G18*$L$2+F18*$M$2</f>
        <v>23398.030188888886</v>
      </c>
      <c r="J18" s="898">
        <f>I18*(1-N2)</f>
        <v>16378.621132222219</v>
      </c>
    </row>
    <row r="19" spans="2:14" x14ac:dyDescent="0.25">
      <c r="B19" s="1082" t="s">
        <v>750</v>
      </c>
      <c r="C19" s="1082" t="s">
        <v>406</v>
      </c>
      <c r="D19" s="897">
        <v>145.25889999999998</v>
      </c>
      <c r="E19" s="897">
        <v>187.04556944444442</v>
      </c>
      <c r="F19" s="897">
        <v>619.24067777777782</v>
      </c>
      <c r="G19" s="897">
        <v>769.37998333333337</v>
      </c>
      <c r="H19" s="1120">
        <f t="shared" si="4"/>
        <v>664.60893888888882</v>
      </c>
      <c r="I19" s="1120">
        <f t="shared" ref="I19:I21" si="5">G19*$L$2+F19*$M$2</f>
        <v>2777.2413222222222</v>
      </c>
      <c r="J19" s="898">
        <f>I19*(1-N2)</f>
        <v>1944.0689255555553</v>
      </c>
      <c r="K19" s="899"/>
      <c r="L19" s="1164"/>
      <c r="M19" s="1164"/>
      <c r="N19" s="1164"/>
    </row>
    <row r="20" spans="2:14" x14ac:dyDescent="0.25">
      <c r="B20" s="1082" t="s">
        <v>750</v>
      </c>
      <c r="C20" s="1082" t="s">
        <v>746</v>
      </c>
      <c r="D20" s="897">
        <v>0.28459444444444443</v>
      </c>
      <c r="E20" s="897">
        <v>0.28239722222222224</v>
      </c>
      <c r="F20" s="897">
        <v>0</v>
      </c>
      <c r="G20" s="897">
        <v>0</v>
      </c>
      <c r="H20" s="1120">
        <f t="shared" si="4"/>
        <v>1.1339833333333333</v>
      </c>
      <c r="I20" s="1120">
        <f t="shared" si="5"/>
        <v>0</v>
      </c>
      <c r="J20" s="898">
        <f>I20*(1-N2)</f>
        <v>0</v>
      </c>
    </row>
    <row r="21" spans="2:14" x14ac:dyDescent="0.25">
      <c r="B21" s="1082" t="s">
        <v>750</v>
      </c>
      <c r="C21" s="1082" t="s">
        <v>747</v>
      </c>
      <c r="D21" s="897">
        <v>1330.8984944444444</v>
      </c>
      <c r="E21" s="897">
        <v>1771.8314277777777</v>
      </c>
      <c r="F21" s="897">
        <v>5670.6808166666669</v>
      </c>
      <c r="G21" s="897">
        <v>7416.9549749999996</v>
      </c>
      <c r="H21" s="1120">
        <f t="shared" si="4"/>
        <v>6205.4598444444437</v>
      </c>
      <c r="I21" s="1120">
        <f t="shared" si="5"/>
        <v>26175.271583333335</v>
      </c>
      <c r="J21" s="898">
        <f>I21*(1-N2)</f>
        <v>18322.690108333332</v>
      </c>
      <c r="L21" s="1164"/>
      <c r="M21" s="1164"/>
    </row>
    <row r="22" spans="2:14" x14ac:dyDescent="0.25">
      <c r="D22" s="897"/>
      <c r="E22" s="897"/>
      <c r="F22" s="897"/>
      <c r="G22" s="897"/>
    </row>
    <row r="23" spans="2:14" x14ac:dyDescent="0.25">
      <c r="B23" s="1082" t="s">
        <v>751</v>
      </c>
      <c r="C23" s="1082" t="s">
        <v>745</v>
      </c>
      <c r="D23" s="1121">
        <f>D18/D8</f>
        <v>0.32683486036953874</v>
      </c>
      <c r="E23" s="1121">
        <f t="shared" ref="E23:G23" si="6">E18/E8</f>
        <v>0.39454003980834046</v>
      </c>
      <c r="F23" s="1121">
        <f t="shared" si="6"/>
        <v>0.71103695385234278</v>
      </c>
      <c r="G23" s="1121">
        <f t="shared" si="6"/>
        <v>0.81743351370389683</v>
      </c>
    </row>
    <row r="24" spans="2:14" x14ac:dyDescent="0.25">
      <c r="B24" s="1082" t="s">
        <v>751</v>
      </c>
      <c r="C24" s="1082" t="s">
        <v>406</v>
      </c>
      <c r="D24" s="1121">
        <f t="shared" ref="D24:G26" si="7">D19/D9</f>
        <v>0.37322352845387752</v>
      </c>
      <c r="E24" s="1121">
        <f t="shared" si="7"/>
        <v>0.44176605375406874</v>
      </c>
      <c r="F24" s="1121">
        <f t="shared" si="7"/>
        <v>0.76927560363689218</v>
      </c>
      <c r="G24" s="1121">
        <f t="shared" si="7"/>
        <v>0.86469565162662942</v>
      </c>
    </row>
    <row r="25" spans="2:14" x14ac:dyDescent="0.25">
      <c r="B25" s="1082" t="s">
        <v>751</v>
      </c>
      <c r="C25" s="1082" t="s">
        <v>746</v>
      </c>
      <c r="D25" s="1121">
        <f t="shared" si="7"/>
        <v>0.3507317323656779</v>
      </c>
      <c r="E25" s="1121">
        <f t="shared" si="7"/>
        <v>0.35127066668970164</v>
      </c>
      <c r="F25" s="1121" t="e">
        <f t="shared" si="7"/>
        <v>#DIV/0!</v>
      </c>
      <c r="G25" s="1121" t="e">
        <f t="shared" si="7"/>
        <v>#DIV/0!</v>
      </c>
      <c r="J25" s="1082" t="s">
        <v>475</v>
      </c>
    </row>
    <row r="26" spans="2:14" x14ac:dyDescent="0.25">
      <c r="B26" s="1082" t="s">
        <v>751</v>
      </c>
      <c r="C26" s="1082" t="s">
        <v>747</v>
      </c>
      <c r="D26" s="1121">
        <f t="shared" si="7"/>
        <v>0.33133445651713106</v>
      </c>
      <c r="E26" s="1121">
        <f t="shared" si="7"/>
        <v>0.39903544996752033</v>
      </c>
      <c r="F26" s="1121">
        <f t="shared" si="7"/>
        <v>0.71696417156130565</v>
      </c>
      <c r="G26" s="1121">
        <f t="shared" si="7"/>
        <v>0.82209459965491061</v>
      </c>
      <c r="I26" s="1390"/>
      <c r="J26" s="900"/>
    </row>
    <row r="27" spans="2:14" x14ac:dyDescent="0.25">
      <c r="D27" s="897"/>
      <c r="E27" s="897"/>
      <c r="F27" s="897"/>
      <c r="G27" s="897"/>
    </row>
    <row r="28" spans="2:14" x14ac:dyDescent="0.25">
      <c r="B28" s="1082" t="s">
        <v>752</v>
      </c>
      <c r="C28" s="1082" t="s">
        <v>747</v>
      </c>
      <c r="D28" s="897">
        <v>327.94094444444443</v>
      </c>
      <c r="E28" s="897">
        <v>656.62860000000001</v>
      </c>
      <c r="F28" s="897">
        <v>7691.3059083333328</v>
      </c>
      <c r="G28" s="897">
        <v>10045.31546388889</v>
      </c>
    </row>
    <row r="29" spans="2:14" x14ac:dyDescent="0.25">
      <c r="B29" s="1082" t="s">
        <v>753</v>
      </c>
      <c r="C29" s="1082" t="s">
        <v>747</v>
      </c>
      <c r="D29" s="897">
        <f>D28/D21</f>
        <v>0.2464056769268016</v>
      </c>
      <c r="E29" s="897">
        <f t="shared" ref="E29:G29" si="8">E28/E21</f>
        <v>0.3705931555935546</v>
      </c>
      <c r="F29" s="897">
        <f t="shared" si="8"/>
        <v>1.356328482768393</v>
      </c>
      <c r="G29" s="897">
        <f t="shared" si="8"/>
        <v>1.3543719083839916</v>
      </c>
    </row>
    <row r="30" spans="2:14" x14ac:dyDescent="0.25">
      <c r="D30" s="897"/>
      <c r="E30" s="897"/>
      <c r="F30" s="897"/>
      <c r="G30" s="897"/>
      <c r="I30" s="324" t="s">
        <v>475</v>
      </c>
    </row>
    <row r="31" spans="2:14" x14ac:dyDescent="0.25">
      <c r="B31" s="1082" t="s">
        <v>754</v>
      </c>
      <c r="C31" s="1082" t="s">
        <v>745</v>
      </c>
      <c r="D31" s="897">
        <v>4011</v>
      </c>
      <c r="E31" s="897">
        <v>4393</v>
      </c>
      <c r="F31" s="897">
        <v>7946</v>
      </c>
      <c r="G31" s="897">
        <v>10469</v>
      </c>
    </row>
    <row r="32" spans="2:14" x14ac:dyDescent="0.25">
      <c r="B32" s="1082" t="s">
        <v>754</v>
      </c>
      <c r="C32" s="1082" t="s">
        <v>406</v>
      </c>
      <c r="D32" s="897">
        <v>434</v>
      </c>
      <c r="E32" s="897">
        <v>465</v>
      </c>
      <c r="F32" s="897">
        <v>957</v>
      </c>
      <c r="G32" s="897">
        <v>1225</v>
      </c>
    </row>
    <row r="33" spans="2:7" x14ac:dyDescent="0.25">
      <c r="B33" s="1082" t="s">
        <v>754</v>
      </c>
      <c r="C33" s="1082" t="s">
        <v>746</v>
      </c>
      <c r="D33" s="897">
        <v>0</v>
      </c>
      <c r="E33" s="897">
        <v>0</v>
      </c>
      <c r="F33" s="897">
        <v>0</v>
      </c>
      <c r="G33" s="897">
        <v>0</v>
      </c>
    </row>
    <row r="34" spans="2:7" x14ac:dyDescent="0.25">
      <c r="B34" s="1082" t="s">
        <v>754</v>
      </c>
      <c r="C34" s="1082" t="s">
        <v>747</v>
      </c>
      <c r="D34" s="897">
        <v>4445</v>
      </c>
      <c r="E34" s="897">
        <v>4858</v>
      </c>
      <c r="F34" s="897">
        <v>8904</v>
      </c>
      <c r="G34" s="897">
        <v>11695</v>
      </c>
    </row>
    <row r="35" spans="2:7" x14ac:dyDescent="0.25">
      <c r="D35" s="897"/>
      <c r="E35" s="897"/>
      <c r="F35" s="897"/>
      <c r="G35" s="897"/>
    </row>
    <row r="36" spans="2:7" x14ac:dyDescent="0.25">
      <c r="B36" s="1082" t="s">
        <v>755</v>
      </c>
      <c r="C36" s="1082" t="s">
        <v>745</v>
      </c>
      <c r="D36" s="897">
        <v>37406</v>
      </c>
      <c r="E36" s="897">
        <v>36683</v>
      </c>
      <c r="F36" s="897">
        <v>36511</v>
      </c>
      <c r="G36" s="897">
        <v>27331</v>
      </c>
    </row>
    <row r="37" spans="2:7" x14ac:dyDescent="0.25">
      <c r="B37" s="1082" t="s">
        <v>755</v>
      </c>
      <c r="C37" s="1082" t="s">
        <v>406</v>
      </c>
      <c r="D37" s="897">
        <v>3638</v>
      </c>
      <c r="E37" s="897">
        <v>3597</v>
      </c>
      <c r="F37" s="897">
        <v>3427</v>
      </c>
      <c r="G37" s="897">
        <v>2519</v>
      </c>
    </row>
    <row r="38" spans="2:7" x14ac:dyDescent="0.25">
      <c r="B38" s="1082" t="s">
        <v>755</v>
      </c>
      <c r="C38" s="1082" t="s">
        <v>746</v>
      </c>
      <c r="D38" s="897">
        <v>13</v>
      </c>
      <c r="E38" s="897">
        <v>12</v>
      </c>
      <c r="F38" s="897">
        <v>0</v>
      </c>
      <c r="G38" s="897">
        <v>0</v>
      </c>
    </row>
    <row r="39" spans="2:7" x14ac:dyDescent="0.25">
      <c r="B39" s="1082" t="s">
        <v>755</v>
      </c>
      <c r="C39" s="1082" t="s">
        <v>747</v>
      </c>
      <c r="D39" s="897">
        <v>41056</v>
      </c>
      <c r="E39" s="897">
        <v>40294</v>
      </c>
      <c r="F39" s="897">
        <v>39939</v>
      </c>
      <c r="G39" s="897">
        <v>29851</v>
      </c>
    </row>
    <row r="40" spans="2:7" x14ac:dyDescent="0.25">
      <c r="D40" s="897"/>
      <c r="E40" s="897"/>
      <c r="F40" s="897"/>
      <c r="G40" s="897"/>
    </row>
    <row r="41" spans="2:7" x14ac:dyDescent="0.25">
      <c r="B41" s="1082" t="s">
        <v>756</v>
      </c>
      <c r="C41" s="1082" t="s">
        <v>747</v>
      </c>
      <c r="D41" s="897">
        <v>744.4</v>
      </c>
      <c r="E41" s="897">
        <v>1078.7</v>
      </c>
      <c r="F41" s="897">
        <v>17065.2</v>
      </c>
      <c r="G41" s="897">
        <v>24710.9</v>
      </c>
    </row>
    <row r="529" spans="4:4" x14ac:dyDescent="0.25">
      <c r="D529" s="1082">
        <v>1180587.3999999999</v>
      </c>
    </row>
    <row r="530" spans="4:4" x14ac:dyDescent="0.25">
      <c r="D530" s="1082">
        <v>744.4</v>
      </c>
    </row>
  </sheetData>
  <pageMargins left="0.7" right="0.7" top="0.75" bottom="0.75" header="0.3" footer="0.3"/>
  <ignoredErrors>
    <ignoredError sqref="I7 I12:I17"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V68"/>
  <sheetViews>
    <sheetView workbookViewId="0">
      <selection activeCell="E19" sqref="E19"/>
    </sheetView>
  </sheetViews>
  <sheetFormatPr defaultRowHeight="15" x14ac:dyDescent="0.25"/>
  <cols>
    <col min="1" max="1" width="9.140625" style="928"/>
    <col min="2" max="2" width="11.42578125" style="928" bestFit="1" customWidth="1"/>
    <col min="3" max="3" width="10.7109375" style="928" bestFit="1" customWidth="1"/>
    <col min="4" max="4" width="10.28515625" style="928" bestFit="1" customWidth="1"/>
    <col min="5" max="5" width="10.7109375" style="928" bestFit="1" customWidth="1"/>
    <col min="6" max="6" width="11.28515625" style="928" customWidth="1"/>
    <col min="7" max="7" width="12" style="928" customWidth="1"/>
    <col min="8" max="8" width="11" style="928" customWidth="1"/>
    <col min="9" max="9" width="12" style="928" customWidth="1"/>
    <col min="10" max="13" width="12" style="695" customWidth="1"/>
    <col min="14" max="14" width="10.28515625" style="928" bestFit="1" customWidth="1"/>
    <col min="15" max="15" width="10.5703125" style="928" bestFit="1" customWidth="1"/>
    <col min="16" max="16" width="9.42578125" style="928" bestFit="1" customWidth="1"/>
    <col min="17" max="17" width="10.28515625" style="928" bestFit="1" customWidth="1"/>
    <col min="18" max="16384" width="9.140625" style="928"/>
  </cols>
  <sheetData>
    <row r="1" spans="1:22" x14ac:dyDescent="0.25">
      <c r="B1" s="1304" t="s">
        <v>481</v>
      </c>
      <c r="C1" s="1304"/>
      <c r="D1" s="1304" t="s">
        <v>534</v>
      </c>
      <c r="E1" s="1304"/>
      <c r="F1" s="1304" t="s">
        <v>481</v>
      </c>
      <c r="G1" s="1304"/>
      <c r="H1" s="1304" t="s">
        <v>534</v>
      </c>
      <c r="I1" s="1304"/>
      <c r="J1" s="1306" t="s">
        <v>481</v>
      </c>
      <c r="K1" s="1306"/>
      <c r="L1" s="1306" t="s">
        <v>534</v>
      </c>
      <c r="M1" s="1306"/>
      <c r="N1" s="1305" t="s">
        <v>535</v>
      </c>
      <c r="O1" s="1305"/>
      <c r="P1" s="1305"/>
      <c r="Q1" s="1305"/>
    </row>
    <row r="2" spans="1:22" x14ac:dyDescent="0.25">
      <c r="A2" s="946"/>
      <c r="B2" s="949" t="s">
        <v>528</v>
      </c>
      <c r="C2" s="949" t="s">
        <v>529</v>
      </c>
      <c r="D2" s="949" t="s">
        <v>528</v>
      </c>
      <c r="E2" s="949" t="s">
        <v>529</v>
      </c>
      <c r="F2" s="949" t="s">
        <v>532</v>
      </c>
      <c r="G2" s="949" t="s">
        <v>533</v>
      </c>
      <c r="H2" s="949" t="s">
        <v>532</v>
      </c>
      <c r="I2" s="949" t="s">
        <v>533</v>
      </c>
      <c r="J2" s="954" t="s">
        <v>806</v>
      </c>
      <c r="K2" s="954" t="s">
        <v>807</v>
      </c>
      <c r="L2" s="954" t="s">
        <v>806</v>
      </c>
      <c r="M2" s="954" t="s">
        <v>807</v>
      </c>
      <c r="N2" s="949" t="s">
        <v>528</v>
      </c>
      <c r="O2" s="949" t="s">
        <v>529</v>
      </c>
      <c r="P2" s="949" t="s">
        <v>530</v>
      </c>
      <c r="Q2" s="949" t="s">
        <v>531</v>
      </c>
    </row>
    <row r="3" spans="1:22" s="1082" customFormat="1" x14ac:dyDescent="0.25">
      <c r="A3" s="950">
        <v>2012</v>
      </c>
      <c r="B3" s="1130">
        <f>'TDM Output'!H3</f>
        <v>507677.88</v>
      </c>
      <c r="C3" s="1129">
        <f>'TDM Output'!H4</f>
        <v>48447.34</v>
      </c>
      <c r="D3" s="1129">
        <f>B3</f>
        <v>507677.88</v>
      </c>
      <c r="E3" s="1129">
        <f>C3</f>
        <v>48447.34</v>
      </c>
      <c r="F3" s="1130">
        <f>'TDM Output'!H18</f>
        <v>5539.7169222222219</v>
      </c>
      <c r="G3" s="1129">
        <f>'TDM Output'!H19</f>
        <v>664.60893888888882</v>
      </c>
      <c r="H3" s="1130">
        <f t="shared" ref="H3:H11" si="0">F3</f>
        <v>5539.7169222222219</v>
      </c>
      <c r="I3" s="1129">
        <f t="shared" ref="I3:I11" si="1">G3</f>
        <v>664.60893888888882</v>
      </c>
      <c r="J3" s="1155">
        <f>'TDM Output'!H3/'TDM Output'!H8</f>
        <v>33.212610788632837</v>
      </c>
      <c r="K3" s="1156">
        <f>'TDM Output'!H4/'TDM Output'!H9</f>
        <v>29.809897680325914</v>
      </c>
      <c r="L3" s="1156">
        <f>'TDM Output'!H3/'TDM Output'!H8</f>
        <v>33.212610788632837</v>
      </c>
      <c r="M3" s="1156">
        <f>'TDM Output'!H4/'TDM Output'!H9</f>
        <v>29.809897680325914</v>
      </c>
      <c r="N3" s="1126"/>
      <c r="O3" s="1126"/>
      <c r="P3" s="1126"/>
      <c r="Q3" s="1126"/>
    </row>
    <row r="4" spans="1:22" s="1082" customFormat="1" x14ac:dyDescent="0.25">
      <c r="A4" s="950">
        <v>2013</v>
      </c>
      <c r="B4" s="951">
        <f>B3+(B$31-B$3)/(($A$31-$A$3))</f>
        <v>502464.05071428569</v>
      </c>
      <c r="C4" s="951">
        <f>C3+(C$31-C$3)/(($A$31-$A$3))</f>
        <v>47764.359999999993</v>
      </c>
      <c r="D4" s="951">
        <f>B4</f>
        <v>502464.05071428569</v>
      </c>
      <c r="E4" s="951">
        <f>C4</f>
        <v>47764.359999999993</v>
      </c>
      <c r="F4" s="951">
        <f>F3+(F$31-F$3)/(($A$31-$A$3))</f>
        <v>6177.5138246031738</v>
      </c>
      <c r="G4" s="951">
        <f>G3+(G$31-G$3)/((A$31-A$3))</f>
        <v>740.06009543650782</v>
      </c>
      <c r="H4" s="951">
        <f t="shared" si="0"/>
        <v>6177.5138246031738</v>
      </c>
      <c r="I4" s="951">
        <f t="shared" si="1"/>
        <v>740.06009543650782</v>
      </c>
      <c r="J4" s="1127">
        <f t="shared" ref="J4:M19" si="2">J3+(J$31-J$3)/(($A$31-$A$3))</f>
        <v>32.450344508257579</v>
      </c>
      <c r="K4" s="1127">
        <f t="shared" si="2"/>
        <v>29.05423945021947</v>
      </c>
      <c r="L4" s="1127">
        <f t="shared" si="2"/>
        <v>32.577211898587692</v>
      </c>
      <c r="M4" s="1127">
        <f t="shared" si="2"/>
        <v>29.154945363814374</v>
      </c>
      <c r="N4" s="1126"/>
      <c r="O4" s="1126"/>
      <c r="P4" s="1126"/>
      <c r="Q4" s="1126"/>
    </row>
    <row r="5" spans="1:22" s="1082" customFormat="1" x14ac:dyDescent="0.25">
      <c r="A5" s="950">
        <v>2014</v>
      </c>
      <c r="B5" s="951">
        <f t="shared" ref="B5:C30" si="3">B4+(B$31-B$3)/(($A$31-$A$3))</f>
        <v>497250.22142857139</v>
      </c>
      <c r="C5" s="951">
        <f t="shared" si="3"/>
        <v>47081.37999999999</v>
      </c>
      <c r="D5" s="951">
        <f t="shared" ref="D5:E30" si="4">B5</f>
        <v>497250.22142857139</v>
      </c>
      <c r="E5" s="951">
        <f t="shared" si="4"/>
        <v>47081.37999999999</v>
      </c>
      <c r="F5" s="951">
        <f t="shared" ref="F5:F10" si="5">F4+(F$31-F$3)/((A$31-A$3))</f>
        <v>6815.3107269841257</v>
      </c>
      <c r="G5" s="951">
        <f t="shared" ref="G5:G30" si="6">G4+(G$31-G$3)/((A$31-A$3))</f>
        <v>815.51125198412683</v>
      </c>
      <c r="H5" s="951">
        <f t="shared" si="0"/>
        <v>6815.3107269841257</v>
      </c>
      <c r="I5" s="951">
        <f t="shared" si="1"/>
        <v>815.51125198412683</v>
      </c>
      <c r="J5" s="1127">
        <f t="shared" si="2"/>
        <v>31.688078227882318</v>
      </c>
      <c r="K5" s="1127">
        <f t="shared" si="2"/>
        <v>28.298581220113022</v>
      </c>
      <c r="L5" s="1127">
        <f t="shared" si="2"/>
        <v>31.94181300854255</v>
      </c>
      <c r="M5" s="1127">
        <f t="shared" si="2"/>
        <v>28.499993047302834</v>
      </c>
      <c r="N5" s="1126" t="s">
        <v>475</v>
      </c>
      <c r="O5" s="1126"/>
      <c r="P5" s="1126"/>
      <c r="Q5" s="1126"/>
    </row>
    <row r="6" spans="1:22" s="1082" customFormat="1" x14ac:dyDescent="0.25">
      <c r="A6" s="950">
        <v>2015</v>
      </c>
      <c r="B6" s="951">
        <f t="shared" si="3"/>
        <v>492036.39214285708</v>
      </c>
      <c r="C6" s="951">
        <f t="shared" si="3"/>
        <v>46398.399999999987</v>
      </c>
      <c r="D6" s="951">
        <f t="shared" si="4"/>
        <v>492036.39214285708</v>
      </c>
      <c r="E6" s="951">
        <f t="shared" si="4"/>
        <v>46398.399999999987</v>
      </c>
      <c r="F6" s="951">
        <f t="shared" si="5"/>
        <v>7453.1076293650776</v>
      </c>
      <c r="G6" s="951">
        <f t="shared" si="6"/>
        <v>890.96240853174584</v>
      </c>
      <c r="H6" s="951">
        <f t="shared" si="0"/>
        <v>7453.1076293650776</v>
      </c>
      <c r="I6" s="951">
        <f t="shared" si="1"/>
        <v>890.96240853174584</v>
      </c>
      <c r="J6" s="1127">
        <f t="shared" si="2"/>
        <v>30.925811947507057</v>
      </c>
      <c r="K6" s="1127">
        <f t="shared" si="2"/>
        <v>27.542922990006574</v>
      </c>
      <c r="L6" s="1127">
        <f t="shared" si="2"/>
        <v>31.306414118497408</v>
      </c>
      <c r="M6" s="1127">
        <f t="shared" si="2"/>
        <v>27.845040730791293</v>
      </c>
      <c r="N6" s="1126"/>
      <c r="O6" s="1126"/>
      <c r="P6" s="1126"/>
      <c r="Q6" s="1126"/>
    </row>
    <row r="7" spans="1:22" s="1082" customFormat="1" x14ac:dyDescent="0.25">
      <c r="A7" s="950">
        <v>2016</v>
      </c>
      <c r="B7" s="951">
        <f t="shared" si="3"/>
        <v>486822.56285714277</v>
      </c>
      <c r="C7" s="951">
        <f t="shared" si="3"/>
        <v>45715.419999999984</v>
      </c>
      <c r="D7" s="951">
        <f t="shared" si="4"/>
        <v>486822.56285714277</v>
      </c>
      <c r="E7" s="951">
        <f t="shared" si="4"/>
        <v>45715.419999999984</v>
      </c>
      <c r="F7" s="951">
        <f t="shared" si="5"/>
        <v>8090.9045317460295</v>
      </c>
      <c r="G7" s="951">
        <f t="shared" si="6"/>
        <v>966.41356507936484</v>
      </c>
      <c r="H7" s="951">
        <f t="shared" si="0"/>
        <v>8090.9045317460295</v>
      </c>
      <c r="I7" s="951">
        <f t="shared" si="1"/>
        <v>966.41356507936484</v>
      </c>
      <c r="J7" s="1127">
        <f t="shared" si="2"/>
        <v>30.163545667131796</v>
      </c>
      <c r="K7" s="1127">
        <f t="shared" si="2"/>
        <v>26.787264759900125</v>
      </c>
      <c r="L7" s="1127">
        <f t="shared" si="2"/>
        <v>30.671015228452266</v>
      </c>
      <c r="M7" s="1127">
        <f t="shared" si="2"/>
        <v>27.190088414279753</v>
      </c>
      <c r="N7" s="1126"/>
      <c r="O7" s="1126"/>
      <c r="P7" s="1126"/>
      <c r="Q7" s="1126"/>
    </row>
    <row r="8" spans="1:22" x14ac:dyDescent="0.25">
      <c r="A8" s="950">
        <v>2017</v>
      </c>
      <c r="B8" s="951">
        <f t="shared" si="3"/>
        <v>481608.73357142846</v>
      </c>
      <c r="C8" s="951">
        <f t="shared" si="3"/>
        <v>45032.439999999981</v>
      </c>
      <c r="D8" s="951">
        <f t="shared" si="4"/>
        <v>481608.73357142846</v>
      </c>
      <c r="E8" s="951">
        <f t="shared" si="4"/>
        <v>45032.439999999981</v>
      </c>
      <c r="F8" s="951">
        <f t="shared" si="5"/>
        <v>8728.7014341269823</v>
      </c>
      <c r="G8" s="951">
        <f t="shared" si="6"/>
        <v>1041.864721626984</v>
      </c>
      <c r="H8" s="951">
        <f t="shared" si="0"/>
        <v>8728.7014341269823</v>
      </c>
      <c r="I8" s="951">
        <f t="shared" si="1"/>
        <v>1041.864721626984</v>
      </c>
      <c r="J8" s="1127">
        <f t="shared" si="2"/>
        <v>29.401279386756535</v>
      </c>
      <c r="K8" s="1127">
        <f t="shared" si="2"/>
        <v>26.031606529793677</v>
      </c>
      <c r="L8" s="1127">
        <f t="shared" si="2"/>
        <v>30.035616338407124</v>
      </c>
      <c r="M8" s="1127">
        <f t="shared" si="2"/>
        <v>26.535136097768213</v>
      </c>
      <c r="N8" s="903">
        <f>D8-B8</f>
        <v>0</v>
      </c>
      <c r="O8" s="903">
        <f>E8-C8</f>
        <v>0</v>
      </c>
      <c r="P8" s="903">
        <f>H8-F8</f>
        <v>0</v>
      </c>
      <c r="Q8" s="903">
        <f>I8-G8</f>
        <v>0</v>
      </c>
      <c r="R8" s="903"/>
      <c r="S8" s="898"/>
      <c r="T8" s="898"/>
    </row>
    <row r="9" spans="1:22" x14ac:dyDescent="0.25">
      <c r="A9" s="950">
        <f>A8+1</f>
        <v>2018</v>
      </c>
      <c r="B9" s="951">
        <f t="shared" si="3"/>
        <v>476394.90428571415</v>
      </c>
      <c r="C9" s="951">
        <f t="shared" si="3"/>
        <v>44349.459999999977</v>
      </c>
      <c r="D9" s="951">
        <f t="shared" si="4"/>
        <v>476394.90428571415</v>
      </c>
      <c r="E9" s="951">
        <f t="shared" si="4"/>
        <v>44349.459999999977</v>
      </c>
      <c r="F9" s="951">
        <f t="shared" si="5"/>
        <v>9366.4983365079352</v>
      </c>
      <c r="G9" s="951">
        <f t="shared" si="6"/>
        <v>1117.3158781746031</v>
      </c>
      <c r="H9" s="951">
        <f t="shared" si="0"/>
        <v>9366.4983365079352</v>
      </c>
      <c r="I9" s="951">
        <f t="shared" si="1"/>
        <v>1117.3158781746031</v>
      </c>
      <c r="J9" s="1127">
        <f t="shared" si="2"/>
        <v>28.639013106381274</v>
      </c>
      <c r="K9" s="1127">
        <f t="shared" si="2"/>
        <v>25.275948299687229</v>
      </c>
      <c r="L9" s="1127">
        <f t="shared" si="2"/>
        <v>29.400217448361982</v>
      </c>
      <c r="M9" s="1127">
        <f t="shared" si="2"/>
        <v>25.880183781256672</v>
      </c>
      <c r="N9" s="903">
        <f t="shared" ref="N9:O31" si="7">D9-B9</f>
        <v>0</v>
      </c>
      <c r="O9" s="903">
        <f t="shared" si="7"/>
        <v>0</v>
      </c>
      <c r="P9" s="903">
        <f t="shared" ref="P9:Q31" si="8">H9-F9</f>
        <v>0</v>
      </c>
      <c r="Q9" s="903">
        <f t="shared" si="8"/>
        <v>0</v>
      </c>
      <c r="R9" s="903"/>
      <c r="S9" s="898"/>
      <c r="T9" s="898"/>
      <c r="U9" s="900"/>
      <c r="V9" s="900"/>
    </row>
    <row r="10" spans="1:22" x14ac:dyDescent="0.25">
      <c r="A10" s="950">
        <f t="shared" ref="A10:A52" si="9">A9+1</f>
        <v>2019</v>
      </c>
      <c r="B10" s="951">
        <f t="shared" si="3"/>
        <v>471181.07499999984</v>
      </c>
      <c r="C10" s="951">
        <f t="shared" si="3"/>
        <v>43666.479999999974</v>
      </c>
      <c r="D10" s="951">
        <f t="shared" si="4"/>
        <v>471181.07499999984</v>
      </c>
      <c r="E10" s="951">
        <f t="shared" si="4"/>
        <v>43666.479999999974</v>
      </c>
      <c r="F10" s="951">
        <f t="shared" si="5"/>
        <v>10004.295238888888</v>
      </c>
      <c r="G10" s="951">
        <f t="shared" si="6"/>
        <v>1192.7670347222222</v>
      </c>
      <c r="H10" s="951">
        <f t="shared" si="0"/>
        <v>10004.295238888888</v>
      </c>
      <c r="I10" s="951">
        <f t="shared" si="1"/>
        <v>1192.7670347222222</v>
      </c>
      <c r="J10" s="1127">
        <f t="shared" si="2"/>
        <v>27.876746826006013</v>
      </c>
      <c r="K10" s="1127">
        <f t="shared" si="2"/>
        <v>24.520290069580781</v>
      </c>
      <c r="L10" s="1127">
        <f t="shared" si="2"/>
        <v>28.76481855831684</v>
      </c>
      <c r="M10" s="1127">
        <f t="shared" si="2"/>
        <v>25.225231464745132</v>
      </c>
      <c r="N10" s="903">
        <f t="shared" si="7"/>
        <v>0</v>
      </c>
      <c r="O10" s="903">
        <f t="shared" si="7"/>
        <v>0</v>
      </c>
      <c r="P10" s="903">
        <f t="shared" si="8"/>
        <v>0</v>
      </c>
      <c r="Q10" s="903">
        <f t="shared" si="8"/>
        <v>0</v>
      </c>
      <c r="R10" s="903"/>
      <c r="S10" s="898"/>
      <c r="T10" s="898"/>
      <c r="U10" s="900"/>
      <c r="V10" s="900"/>
    </row>
    <row r="11" spans="1:22" x14ac:dyDescent="0.25">
      <c r="A11" s="950">
        <f t="shared" si="9"/>
        <v>2020</v>
      </c>
      <c r="B11" s="951">
        <f t="shared" si="3"/>
        <v>465967.24571428553</v>
      </c>
      <c r="C11" s="951">
        <f t="shared" si="3"/>
        <v>42983.499999999971</v>
      </c>
      <c r="D11" s="951">
        <f t="shared" si="4"/>
        <v>465967.24571428553</v>
      </c>
      <c r="E11" s="951">
        <f t="shared" si="4"/>
        <v>42983.499999999971</v>
      </c>
      <c r="F11" s="951">
        <f>F10+(F$31-F$3)/((A$31-A$3))</f>
        <v>10642.092141269841</v>
      </c>
      <c r="G11" s="951">
        <f t="shared" si="6"/>
        <v>1268.2181912698413</v>
      </c>
      <c r="H11" s="951">
        <f t="shared" si="0"/>
        <v>10642.092141269841</v>
      </c>
      <c r="I11" s="951">
        <f t="shared" si="1"/>
        <v>1268.2181912698413</v>
      </c>
      <c r="J11" s="1127">
        <f t="shared" si="2"/>
        <v>27.114480545630752</v>
      </c>
      <c r="K11" s="1127">
        <f t="shared" si="2"/>
        <v>23.764631839474333</v>
      </c>
      <c r="L11" s="1127">
        <f t="shared" si="2"/>
        <v>28.129419668271698</v>
      </c>
      <c r="M11" s="1127">
        <f t="shared" si="2"/>
        <v>24.570279148233592</v>
      </c>
      <c r="N11" s="903">
        <f t="shared" si="7"/>
        <v>0</v>
      </c>
      <c r="O11" s="903">
        <f t="shared" si="7"/>
        <v>0</v>
      </c>
      <c r="P11" s="903">
        <f t="shared" si="8"/>
        <v>0</v>
      </c>
      <c r="Q11" s="903">
        <f t="shared" si="8"/>
        <v>0</v>
      </c>
      <c r="R11" s="903"/>
      <c r="S11" s="898"/>
      <c r="T11" s="898"/>
      <c r="U11" s="900"/>
      <c r="V11" s="900"/>
    </row>
    <row r="12" spans="1:22" x14ac:dyDescent="0.25">
      <c r="A12" s="950">
        <f t="shared" si="9"/>
        <v>2021</v>
      </c>
      <c r="B12" s="951">
        <f t="shared" si="3"/>
        <v>460753.41642857122</v>
      </c>
      <c r="C12" s="951">
        <f t="shared" si="3"/>
        <v>42300.519999999968</v>
      </c>
      <c r="D12" s="951">
        <f t="shared" si="4"/>
        <v>460753.41642857122</v>
      </c>
      <c r="E12" s="951">
        <f t="shared" si="4"/>
        <v>42300.519999999968</v>
      </c>
      <c r="F12" s="951">
        <f t="shared" ref="F12:F30" si="10">F11+(F$31-F$3)/((A$31-A$3))</f>
        <v>11279.889043650794</v>
      </c>
      <c r="G12" s="951">
        <f t="shared" si="6"/>
        <v>1343.6693478174604</v>
      </c>
      <c r="H12" s="951">
        <f>F12</f>
        <v>11279.889043650794</v>
      </c>
      <c r="I12" s="951">
        <f>G12</f>
        <v>1343.6693478174604</v>
      </c>
      <c r="J12" s="1127">
        <f t="shared" si="2"/>
        <v>26.35221426525549</v>
      </c>
      <c r="K12" s="1127">
        <f t="shared" si="2"/>
        <v>23.008973609367885</v>
      </c>
      <c r="L12" s="1127">
        <f t="shared" si="2"/>
        <v>27.494020778226556</v>
      </c>
      <c r="M12" s="1127">
        <f t="shared" si="2"/>
        <v>23.915326831722052</v>
      </c>
      <c r="N12" s="903">
        <f t="shared" si="7"/>
        <v>0</v>
      </c>
      <c r="O12" s="903">
        <f t="shared" si="7"/>
        <v>0</v>
      </c>
      <c r="P12" s="903">
        <f t="shared" si="8"/>
        <v>0</v>
      </c>
      <c r="Q12" s="903">
        <f t="shared" si="8"/>
        <v>0</v>
      </c>
      <c r="R12" s="903"/>
      <c r="S12" s="898"/>
      <c r="T12" s="898"/>
      <c r="U12" s="900"/>
      <c r="V12" s="900"/>
    </row>
    <row r="13" spans="1:22" x14ac:dyDescent="0.25">
      <c r="A13" s="950">
        <f t="shared" si="9"/>
        <v>2022</v>
      </c>
      <c r="B13" s="951">
        <f t="shared" si="3"/>
        <v>455539.58714285691</v>
      </c>
      <c r="C13" s="951">
        <f t="shared" si="3"/>
        <v>41617.539999999964</v>
      </c>
      <c r="D13" s="951">
        <f t="shared" si="4"/>
        <v>455539.58714285691</v>
      </c>
      <c r="E13" s="951">
        <f t="shared" si="4"/>
        <v>41617.539999999964</v>
      </c>
      <c r="F13" s="951">
        <f t="shared" si="10"/>
        <v>11917.685946031746</v>
      </c>
      <c r="G13" s="951">
        <f t="shared" si="6"/>
        <v>1419.1205043650796</v>
      </c>
      <c r="H13" s="951">
        <f>F13*(1-'TDM Output'!$N$2)</f>
        <v>8342.3801622222218</v>
      </c>
      <c r="I13" s="951">
        <f>G13*(1-'TDM Output'!$N$2)</f>
        <v>993.38435305555561</v>
      </c>
      <c r="J13" s="1127">
        <f t="shared" si="2"/>
        <v>25.589947984880229</v>
      </c>
      <c r="K13" s="1127">
        <f t="shared" si="2"/>
        <v>22.253315379261437</v>
      </c>
      <c r="L13" s="1127">
        <f t="shared" si="2"/>
        <v>26.858621888181414</v>
      </c>
      <c r="M13" s="1127">
        <f t="shared" si="2"/>
        <v>23.260374515210511</v>
      </c>
      <c r="N13" s="903">
        <f t="shared" si="7"/>
        <v>0</v>
      </c>
      <c r="O13" s="903">
        <f t="shared" si="7"/>
        <v>0</v>
      </c>
      <c r="P13" s="903">
        <f t="shared" si="8"/>
        <v>-3575.3057838095247</v>
      </c>
      <c r="Q13" s="903">
        <f t="shared" si="8"/>
        <v>-425.73615130952396</v>
      </c>
      <c r="R13" s="903"/>
      <c r="S13" s="898"/>
      <c r="T13" s="898"/>
      <c r="U13" s="900"/>
      <c r="V13" s="900"/>
    </row>
    <row r="14" spans="1:22" x14ac:dyDescent="0.25">
      <c r="A14" s="950">
        <f t="shared" si="9"/>
        <v>2023</v>
      </c>
      <c r="B14" s="951">
        <f t="shared" si="3"/>
        <v>450325.7578571426</v>
      </c>
      <c r="C14" s="951">
        <f t="shared" si="3"/>
        <v>40934.559999999961</v>
      </c>
      <c r="D14" s="951">
        <f t="shared" si="4"/>
        <v>450325.7578571426</v>
      </c>
      <c r="E14" s="951">
        <f t="shared" si="4"/>
        <v>40934.559999999961</v>
      </c>
      <c r="F14" s="951">
        <f t="shared" si="10"/>
        <v>12555.482848412699</v>
      </c>
      <c r="G14" s="951">
        <f t="shared" si="6"/>
        <v>1494.5716609126987</v>
      </c>
      <c r="H14" s="951">
        <f>F14*(1-'TDM Output'!$N$2)</f>
        <v>8788.8379938888884</v>
      </c>
      <c r="I14" s="951">
        <f>G14*(1-'TDM Output'!$N$2)</f>
        <v>1046.200162638889</v>
      </c>
      <c r="J14" s="1127">
        <f t="shared" si="2"/>
        <v>24.827681704504968</v>
      </c>
      <c r="K14" s="1127">
        <f t="shared" si="2"/>
        <v>21.497657149154989</v>
      </c>
      <c r="L14" s="1127">
        <f t="shared" si="2"/>
        <v>26.223222998136272</v>
      </c>
      <c r="M14" s="1127">
        <f t="shared" si="2"/>
        <v>22.605422198698971</v>
      </c>
      <c r="N14" s="903">
        <f t="shared" si="7"/>
        <v>0</v>
      </c>
      <c r="O14" s="903">
        <f t="shared" si="7"/>
        <v>0</v>
      </c>
      <c r="P14" s="903">
        <f t="shared" si="8"/>
        <v>-3766.6448545238109</v>
      </c>
      <c r="Q14" s="903">
        <f t="shared" si="8"/>
        <v>-448.37149827380972</v>
      </c>
      <c r="R14" s="903"/>
      <c r="S14" s="898"/>
      <c r="T14" s="898"/>
      <c r="U14" s="900"/>
      <c r="V14" s="900"/>
    </row>
    <row r="15" spans="1:22" x14ac:dyDescent="0.25">
      <c r="A15" s="950">
        <f t="shared" si="9"/>
        <v>2024</v>
      </c>
      <c r="B15" s="951">
        <f t="shared" si="3"/>
        <v>445111.92857142829</v>
      </c>
      <c r="C15" s="951">
        <f t="shared" si="3"/>
        <v>40251.579999999958</v>
      </c>
      <c r="D15" s="951">
        <f t="shared" si="4"/>
        <v>445111.92857142829</v>
      </c>
      <c r="E15" s="951">
        <f t="shared" si="4"/>
        <v>40251.579999999958</v>
      </c>
      <c r="F15" s="951">
        <f t="shared" si="10"/>
        <v>13193.279750793652</v>
      </c>
      <c r="G15" s="951">
        <f t="shared" si="6"/>
        <v>1570.0228174603178</v>
      </c>
      <c r="H15" s="951">
        <f>F15*(1-'TDM Output'!$N$2)</f>
        <v>9235.295825555555</v>
      </c>
      <c r="I15" s="951">
        <f>G15*(1-'TDM Output'!$N$2)</f>
        <v>1099.0159722222224</v>
      </c>
      <c r="J15" s="1127">
        <f t="shared" si="2"/>
        <v>24.065415424129707</v>
      </c>
      <c r="K15" s="1127">
        <f t="shared" si="2"/>
        <v>20.741998919048541</v>
      </c>
      <c r="L15" s="1127">
        <f t="shared" si="2"/>
        <v>25.58782410809113</v>
      </c>
      <c r="M15" s="1127">
        <f t="shared" si="2"/>
        <v>21.950469882187431</v>
      </c>
      <c r="N15" s="903">
        <f t="shared" si="7"/>
        <v>0</v>
      </c>
      <c r="O15" s="903">
        <f t="shared" si="7"/>
        <v>0</v>
      </c>
      <c r="P15" s="903">
        <f t="shared" si="8"/>
        <v>-3957.9839252380971</v>
      </c>
      <c r="Q15" s="903">
        <f t="shared" si="8"/>
        <v>-471.00684523809537</v>
      </c>
      <c r="R15" s="903"/>
      <c r="S15" s="898"/>
      <c r="T15" s="898"/>
      <c r="U15" s="900"/>
      <c r="V15" s="900"/>
    </row>
    <row r="16" spans="1:22" x14ac:dyDescent="0.25">
      <c r="A16" s="950">
        <f t="shared" si="9"/>
        <v>2025</v>
      </c>
      <c r="B16" s="951">
        <f t="shared" si="3"/>
        <v>439898.09928571398</v>
      </c>
      <c r="C16" s="951">
        <f t="shared" si="3"/>
        <v>39568.599999999955</v>
      </c>
      <c r="D16" s="951">
        <f t="shared" si="4"/>
        <v>439898.09928571398</v>
      </c>
      <c r="E16" s="951">
        <f t="shared" si="4"/>
        <v>39568.599999999955</v>
      </c>
      <c r="F16" s="951">
        <f t="shared" si="10"/>
        <v>13831.076653174605</v>
      </c>
      <c r="G16" s="951">
        <f t="shared" si="6"/>
        <v>1645.4739740079369</v>
      </c>
      <c r="H16" s="951">
        <f>F16*(1-'TDM Output'!$N$2)</f>
        <v>9681.7536572222234</v>
      </c>
      <c r="I16" s="951">
        <f>G16*(1-'TDM Output'!$N$2)</f>
        <v>1151.8317818055557</v>
      </c>
      <c r="J16" s="1127">
        <f t="shared" si="2"/>
        <v>23.303149143754446</v>
      </c>
      <c r="K16" s="1127">
        <f t="shared" si="2"/>
        <v>19.986340688942093</v>
      </c>
      <c r="L16" s="1127">
        <f t="shared" si="2"/>
        <v>24.952425218045988</v>
      </c>
      <c r="M16" s="1127">
        <f t="shared" si="2"/>
        <v>21.29551756567589</v>
      </c>
      <c r="N16" s="903">
        <f t="shared" si="7"/>
        <v>0</v>
      </c>
      <c r="O16" s="903">
        <f t="shared" si="7"/>
        <v>0</v>
      </c>
      <c r="P16" s="903">
        <f t="shared" si="8"/>
        <v>-4149.3229959523815</v>
      </c>
      <c r="Q16" s="903">
        <f t="shared" si="8"/>
        <v>-493.64219220238124</v>
      </c>
      <c r="R16" s="903"/>
      <c r="S16" s="898"/>
      <c r="T16" s="898"/>
      <c r="U16" s="900"/>
      <c r="V16" s="900"/>
    </row>
    <row r="17" spans="1:22" x14ac:dyDescent="0.25">
      <c r="A17" s="950">
        <f t="shared" si="9"/>
        <v>2026</v>
      </c>
      <c r="B17" s="951">
        <f t="shared" si="3"/>
        <v>434684.26999999967</v>
      </c>
      <c r="C17" s="951">
        <f t="shared" si="3"/>
        <v>38885.619999999952</v>
      </c>
      <c r="D17" s="951">
        <f t="shared" si="4"/>
        <v>434684.26999999967</v>
      </c>
      <c r="E17" s="951">
        <f t="shared" si="4"/>
        <v>38885.619999999952</v>
      </c>
      <c r="F17" s="951">
        <f t="shared" si="10"/>
        <v>14468.873555555558</v>
      </c>
      <c r="G17" s="951">
        <f t="shared" si="6"/>
        <v>1720.9251305555561</v>
      </c>
      <c r="H17" s="951">
        <f>F17*(1-'TDM Output'!$N$2)</f>
        <v>10128.21148888889</v>
      </c>
      <c r="I17" s="951">
        <f>G17*(1-'TDM Output'!$N$2)</f>
        <v>1204.6475913888892</v>
      </c>
      <c r="J17" s="1127">
        <f t="shared" si="2"/>
        <v>22.540882863379185</v>
      </c>
      <c r="K17" s="1127">
        <f t="shared" si="2"/>
        <v>19.230682458835645</v>
      </c>
      <c r="L17" s="1127">
        <f t="shared" si="2"/>
        <v>24.317026328000846</v>
      </c>
      <c r="M17" s="1127">
        <f t="shared" si="2"/>
        <v>20.64056524916435</v>
      </c>
      <c r="N17" s="903">
        <f t="shared" si="7"/>
        <v>0</v>
      </c>
      <c r="O17" s="903">
        <f t="shared" si="7"/>
        <v>0</v>
      </c>
      <c r="P17" s="903">
        <f t="shared" si="8"/>
        <v>-4340.6620666666677</v>
      </c>
      <c r="Q17" s="903">
        <f t="shared" si="8"/>
        <v>-516.27753916666688</v>
      </c>
      <c r="R17" s="903"/>
      <c r="S17" s="898"/>
      <c r="T17" s="898"/>
      <c r="U17" s="900"/>
      <c r="V17" s="900"/>
    </row>
    <row r="18" spans="1:22" x14ac:dyDescent="0.25">
      <c r="A18" s="950">
        <f t="shared" si="9"/>
        <v>2027</v>
      </c>
      <c r="B18" s="951">
        <f t="shared" si="3"/>
        <v>429470.44071428536</v>
      </c>
      <c r="C18" s="951">
        <f t="shared" si="3"/>
        <v>38202.639999999948</v>
      </c>
      <c r="D18" s="951">
        <f t="shared" si="4"/>
        <v>429470.44071428536</v>
      </c>
      <c r="E18" s="951">
        <f t="shared" si="4"/>
        <v>38202.639999999948</v>
      </c>
      <c r="F18" s="951">
        <f t="shared" si="10"/>
        <v>15106.670457936511</v>
      </c>
      <c r="G18" s="951">
        <f t="shared" si="6"/>
        <v>1796.3762871031752</v>
      </c>
      <c r="H18" s="951">
        <f>F18*(1-'TDM Output'!$N$2)</f>
        <v>10574.669320555557</v>
      </c>
      <c r="I18" s="951">
        <f>G18*(1-'TDM Output'!$N$2)</f>
        <v>1257.4634009722226</v>
      </c>
      <c r="J18" s="1127">
        <f t="shared" si="2"/>
        <v>21.778616583003924</v>
      </c>
      <c r="K18" s="1127">
        <f t="shared" si="2"/>
        <v>18.475024228729197</v>
      </c>
      <c r="L18" s="1127">
        <f t="shared" si="2"/>
        <v>23.681627437955704</v>
      </c>
      <c r="M18" s="1127">
        <f t="shared" si="2"/>
        <v>19.98561293265281</v>
      </c>
      <c r="N18" s="903">
        <f t="shared" si="7"/>
        <v>0</v>
      </c>
      <c r="O18" s="903">
        <f t="shared" si="7"/>
        <v>0</v>
      </c>
      <c r="P18" s="903">
        <f t="shared" si="8"/>
        <v>-4532.0011373809539</v>
      </c>
      <c r="Q18" s="903">
        <f t="shared" si="8"/>
        <v>-538.91288613095253</v>
      </c>
      <c r="R18" s="903"/>
      <c r="S18" s="898"/>
      <c r="T18" s="898"/>
      <c r="U18" s="900"/>
      <c r="V18" s="900"/>
    </row>
    <row r="19" spans="1:22" x14ac:dyDescent="0.25">
      <c r="A19" s="950">
        <f t="shared" si="9"/>
        <v>2028</v>
      </c>
      <c r="B19" s="951">
        <f t="shared" si="3"/>
        <v>424256.61142857105</v>
      </c>
      <c r="C19" s="951">
        <f t="shared" si="3"/>
        <v>37519.659999999945</v>
      </c>
      <c r="D19" s="951">
        <f t="shared" si="4"/>
        <v>424256.61142857105</v>
      </c>
      <c r="E19" s="951">
        <f t="shared" si="4"/>
        <v>37519.659999999945</v>
      </c>
      <c r="F19" s="951">
        <f t="shared" si="10"/>
        <v>15744.467360317463</v>
      </c>
      <c r="G19" s="951">
        <f t="shared" si="6"/>
        <v>1871.8274436507943</v>
      </c>
      <c r="H19" s="951">
        <f>F19*(1-'TDM Output'!$N$2)</f>
        <v>11021.127152222223</v>
      </c>
      <c r="I19" s="951">
        <f>G19*(1-'TDM Output'!$N$2)</f>
        <v>1310.2792105555559</v>
      </c>
      <c r="J19" s="1127">
        <f t="shared" si="2"/>
        <v>21.016350302628663</v>
      </c>
      <c r="K19" s="1127">
        <f t="shared" si="2"/>
        <v>17.719365998622749</v>
      </c>
      <c r="L19" s="1127">
        <f t="shared" si="2"/>
        <v>23.046228547910562</v>
      </c>
      <c r="M19" s="1127">
        <f t="shared" si="2"/>
        <v>19.33066061614127</v>
      </c>
      <c r="N19" s="903">
        <f t="shared" si="7"/>
        <v>0</v>
      </c>
      <c r="O19" s="903">
        <f t="shared" si="7"/>
        <v>0</v>
      </c>
      <c r="P19" s="903">
        <f t="shared" si="8"/>
        <v>-4723.3402080952401</v>
      </c>
      <c r="Q19" s="903">
        <f t="shared" si="8"/>
        <v>-561.5482330952384</v>
      </c>
      <c r="R19" s="903"/>
      <c r="S19" s="898" t="s">
        <v>475</v>
      </c>
      <c r="T19" s="898"/>
      <c r="U19" s="900"/>
      <c r="V19" s="900"/>
    </row>
    <row r="20" spans="1:22" x14ac:dyDescent="0.25">
      <c r="A20" s="950">
        <f t="shared" si="9"/>
        <v>2029</v>
      </c>
      <c r="B20" s="951">
        <f t="shared" si="3"/>
        <v>419042.78214285674</v>
      </c>
      <c r="C20" s="951">
        <f t="shared" si="3"/>
        <v>36836.679999999942</v>
      </c>
      <c r="D20" s="951">
        <f t="shared" si="4"/>
        <v>419042.78214285674</v>
      </c>
      <c r="E20" s="951">
        <f t="shared" si="4"/>
        <v>36836.679999999942</v>
      </c>
      <c r="F20" s="951">
        <f t="shared" si="10"/>
        <v>16382.264262698416</v>
      </c>
      <c r="G20" s="951">
        <f t="shared" si="6"/>
        <v>1947.2786001984134</v>
      </c>
      <c r="H20" s="951">
        <f>F20*(1-'TDM Output'!$N$2)</f>
        <v>11467.58498388889</v>
      </c>
      <c r="I20" s="951">
        <f>G20*(1-'TDM Output'!$N$2)</f>
        <v>1363.0950201388894</v>
      </c>
      <c r="J20" s="1127">
        <f t="shared" ref="J20:J30" si="11">J19+(J$31-J$3)/(($A$31-$A$3))</f>
        <v>20.254084022253402</v>
      </c>
      <c r="K20" s="1127">
        <f t="shared" ref="K20:K30" si="12">K19+(K$31-K$3)/(($A$31-$A$3))</f>
        <v>16.963707768516301</v>
      </c>
      <c r="L20" s="1127">
        <f t="shared" ref="L20:L30" si="13">L19+(L$31-L$3)/(($A$31-$A$3))</f>
        <v>22.41082965786542</v>
      </c>
      <c r="M20" s="1127">
        <f t="shared" ref="M20:M30" si="14">M19+(M$31-M$3)/(($A$31-$A$3))</f>
        <v>18.675708299629729</v>
      </c>
      <c r="N20" s="903">
        <f t="shared" si="7"/>
        <v>0</v>
      </c>
      <c r="O20" s="903">
        <f t="shared" si="7"/>
        <v>0</v>
      </c>
      <c r="P20" s="903">
        <f t="shared" si="8"/>
        <v>-4914.6792788095263</v>
      </c>
      <c r="Q20" s="903">
        <f t="shared" si="8"/>
        <v>-584.18358005952405</v>
      </c>
      <c r="R20" s="903"/>
      <c r="S20" s="898"/>
      <c r="T20" s="898"/>
      <c r="U20" s="900"/>
      <c r="V20" s="900"/>
    </row>
    <row r="21" spans="1:22" x14ac:dyDescent="0.25">
      <c r="A21" s="950">
        <f t="shared" si="9"/>
        <v>2030</v>
      </c>
      <c r="B21" s="951">
        <f t="shared" si="3"/>
        <v>413828.95285714243</v>
      </c>
      <c r="C21" s="951">
        <f t="shared" si="3"/>
        <v>36153.699999999939</v>
      </c>
      <c r="D21" s="951">
        <f t="shared" si="4"/>
        <v>413828.95285714243</v>
      </c>
      <c r="E21" s="951">
        <f t="shared" si="4"/>
        <v>36153.699999999939</v>
      </c>
      <c r="F21" s="951">
        <f t="shared" si="10"/>
        <v>17020.061165079369</v>
      </c>
      <c r="G21" s="951">
        <f t="shared" si="6"/>
        <v>2022.7297567460325</v>
      </c>
      <c r="H21" s="951">
        <f>F21*(1-'TDM Output'!$N$2)</f>
        <v>11914.042815555558</v>
      </c>
      <c r="I21" s="951">
        <f>G21*(1-'TDM Output'!$N$2)</f>
        <v>1415.9108297222226</v>
      </c>
      <c r="J21" s="1127">
        <f t="shared" si="11"/>
        <v>19.49181774187814</v>
      </c>
      <c r="K21" s="1127">
        <f t="shared" si="12"/>
        <v>16.208049538409853</v>
      </c>
      <c r="L21" s="1127">
        <f t="shared" si="13"/>
        <v>21.775430767820279</v>
      </c>
      <c r="M21" s="1127">
        <f t="shared" si="14"/>
        <v>18.020755983118189</v>
      </c>
      <c r="N21" s="903">
        <f t="shared" si="7"/>
        <v>0</v>
      </c>
      <c r="O21" s="903">
        <f t="shared" si="7"/>
        <v>0</v>
      </c>
      <c r="P21" s="903">
        <f t="shared" si="8"/>
        <v>-5106.0183495238107</v>
      </c>
      <c r="Q21" s="903">
        <f t="shared" si="8"/>
        <v>-606.81892702380992</v>
      </c>
      <c r="R21" s="903"/>
      <c r="S21" s="898"/>
      <c r="T21" s="898"/>
      <c r="U21" s="900"/>
      <c r="V21" s="900"/>
    </row>
    <row r="22" spans="1:22" x14ac:dyDescent="0.25">
      <c r="A22" s="950">
        <f t="shared" si="9"/>
        <v>2031</v>
      </c>
      <c r="B22" s="951">
        <f t="shared" si="3"/>
        <v>408615.12357142812</v>
      </c>
      <c r="C22" s="951">
        <f t="shared" si="3"/>
        <v>35470.719999999936</v>
      </c>
      <c r="D22" s="951">
        <f t="shared" si="4"/>
        <v>408615.12357142812</v>
      </c>
      <c r="E22" s="951">
        <f t="shared" si="4"/>
        <v>35470.719999999936</v>
      </c>
      <c r="F22" s="951">
        <f t="shared" si="10"/>
        <v>17657.858067460322</v>
      </c>
      <c r="G22" s="951">
        <f t="shared" si="6"/>
        <v>2098.1809132936514</v>
      </c>
      <c r="H22" s="951">
        <f>F22*(1-'TDM Output'!$N$2)</f>
        <v>12360.500647222225</v>
      </c>
      <c r="I22" s="951">
        <f>G22*(1-'TDM Output'!$N$2)</f>
        <v>1468.7266393055559</v>
      </c>
      <c r="J22" s="1127">
        <f t="shared" si="11"/>
        <v>18.729551461502879</v>
      </c>
      <c r="K22" s="1127">
        <f t="shared" si="12"/>
        <v>15.452391308303406</v>
      </c>
      <c r="L22" s="1127">
        <f t="shared" si="13"/>
        <v>21.140031877775137</v>
      </c>
      <c r="M22" s="1127">
        <f t="shared" si="14"/>
        <v>17.365803666606649</v>
      </c>
      <c r="N22" s="903">
        <f t="shared" si="7"/>
        <v>0</v>
      </c>
      <c r="O22" s="903">
        <f t="shared" si="7"/>
        <v>0</v>
      </c>
      <c r="P22" s="903">
        <f t="shared" si="8"/>
        <v>-5297.3574202380969</v>
      </c>
      <c r="Q22" s="903">
        <f t="shared" si="8"/>
        <v>-629.45427398809557</v>
      </c>
      <c r="R22" s="903"/>
      <c r="S22" s="898"/>
      <c r="T22" s="898"/>
      <c r="U22" s="900"/>
      <c r="V22" s="900"/>
    </row>
    <row r="23" spans="1:22" x14ac:dyDescent="0.25">
      <c r="A23" s="950">
        <f t="shared" si="9"/>
        <v>2032</v>
      </c>
      <c r="B23" s="951">
        <f t="shared" si="3"/>
        <v>403401.29428571381</v>
      </c>
      <c r="C23" s="951">
        <f t="shared" si="3"/>
        <v>34787.739999999932</v>
      </c>
      <c r="D23" s="951">
        <f t="shared" si="4"/>
        <v>403401.29428571381</v>
      </c>
      <c r="E23" s="951">
        <f t="shared" si="4"/>
        <v>34787.739999999932</v>
      </c>
      <c r="F23" s="951">
        <f t="shared" si="10"/>
        <v>18295.654969841275</v>
      </c>
      <c r="G23" s="951">
        <f t="shared" si="6"/>
        <v>2173.6320698412705</v>
      </c>
      <c r="H23" s="951">
        <f>F23*(1-'TDM Output'!$N$2)</f>
        <v>12806.958478888891</v>
      </c>
      <c r="I23" s="951">
        <f>G23*(1-'TDM Output'!$N$2)</f>
        <v>1521.5424488888893</v>
      </c>
      <c r="J23" s="1127">
        <f t="shared" si="11"/>
        <v>17.967285181127618</v>
      </c>
      <c r="K23" s="1127">
        <f t="shared" si="12"/>
        <v>14.69673307819696</v>
      </c>
      <c r="L23" s="1127">
        <f t="shared" si="13"/>
        <v>20.504632987729995</v>
      </c>
      <c r="M23" s="1127">
        <f t="shared" si="14"/>
        <v>16.710851350095108</v>
      </c>
      <c r="N23" s="903">
        <f t="shared" si="7"/>
        <v>0</v>
      </c>
      <c r="O23" s="903">
        <f t="shared" si="7"/>
        <v>0</v>
      </c>
      <c r="P23" s="903">
        <f t="shared" si="8"/>
        <v>-5488.6964909523831</v>
      </c>
      <c r="Q23" s="903">
        <f t="shared" si="8"/>
        <v>-652.08962095238121</v>
      </c>
      <c r="R23" s="903"/>
      <c r="S23" s="898"/>
      <c r="T23" s="898"/>
      <c r="U23" s="900"/>
      <c r="V23" s="900"/>
    </row>
    <row r="24" spans="1:22" x14ac:dyDescent="0.25">
      <c r="A24" s="950">
        <f t="shared" si="9"/>
        <v>2033</v>
      </c>
      <c r="B24" s="951">
        <f t="shared" si="3"/>
        <v>398187.4649999995</v>
      </c>
      <c r="C24" s="951">
        <f t="shared" si="3"/>
        <v>34104.759999999929</v>
      </c>
      <c r="D24" s="951">
        <f t="shared" si="4"/>
        <v>398187.4649999995</v>
      </c>
      <c r="E24" s="951">
        <f t="shared" si="4"/>
        <v>34104.759999999929</v>
      </c>
      <c r="F24" s="951">
        <f t="shared" si="10"/>
        <v>18933.451872222227</v>
      </c>
      <c r="G24" s="951">
        <f t="shared" si="6"/>
        <v>2249.0832263888897</v>
      </c>
      <c r="H24" s="951">
        <f>F24*(1-'TDM Output'!$N$2)</f>
        <v>13253.416310555558</v>
      </c>
      <c r="I24" s="951">
        <f>G24*(1-'TDM Output'!$N$2)</f>
        <v>1574.3582584722226</v>
      </c>
      <c r="J24" s="1127">
        <f t="shared" si="11"/>
        <v>17.205018900752357</v>
      </c>
      <c r="K24" s="1127">
        <f t="shared" si="12"/>
        <v>13.941074848090514</v>
      </c>
      <c r="L24" s="1127">
        <f t="shared" si="13"/>
        <v>19.869234097684853</v>
      </c>
      <c r="M24" s="1127">
        <f t="shared" si="14"/>
        <v>16.055899033583568</v>
      </c>
      <c r="N24" s="903">
        <f t="shared" si="7"/>
        <v>0</v>
      </c>
      <c r="O24" s="903">
        <f t="shared" si="7"/>
        <v>0</v>
      </c>
      <c r="P24" s="903">
        <f t="shared" si="8"/>
        <v>-5680.0355616666693</v>
      </c>
      <c r="Q24" s="903">
        <f t="shared" si="8"/>
        <v>-674.72496791666708</v>
      </c>
      <c r="R24" s="903"/>
      <c r="S24" s="898"/>
      <c r="T24" s="898"/>
      <c r="U24" s="900"/>
      <c r="V24" s="900"/>
    </row>
    <row r="25" spans="1:22" x14ac:dyDescent="0.25">
      <c r="A25" s="950">
        <f t="shared" si="9"/>
        <v>2034</v>
      </c>
      <c r="B25" s="951">
        <f t="shared" si="3"/>
        <v>392973.63571428519</v>
      </c>
      <c r="C25" s="951">
        <f t="shared" si="3"/>
        <v>33421.779999999926</v>
      </c>
      <c r="D25" s="951">
        <f t="shared" si="4"/>
        <v>392973.63571428519</v>
      </c>
      <c r="E25" s="951">
        <f t="shared" si="4"/>
        <v>33421.779999999926</v>
      </c>
      <c r="F25" s="951">
        <f t="shared" si="10"/>
        <v>19571.24877460318</v>
      </c>
      <c r="G25" s="951">
        <f t="shared" si="6"/>
        <v>2324.5343829365088</v>
      </c>
      <c r="H25" s="951">
        <f>F25*(1-'TDM Output'!$N$2)</f>
        <v>13699.874142222225</v>
      </c>
      <c r="I25" s="951">
        <f>G25*(1-'TDM Output'!$N$2)</f>
        <v>1627.1740680555561</v>
      </c>
      <c r="J25" s="1127">
        <f t="shared" si="11"/>
        <v>16.442752620377096</v>
      </c>
      <c r="K25" s="1127">
        <f t="shared" si="12"/>
        <v>13.185416617984067</v>
      </c>
      <c r="L25" s="1127">
        <f t="shared" si="13"/>
        <v>19.233835207639711</v>
      </c>
      <c r="M25" s="1127">
        <f t="shared" si="14"/>
        <v>15.400946717072028</v>
      </c>
      <c r="N25" s="903">
        <f t="shared" si="7"/>
        <v>0</v>
      </c>
      <c r="O25" s="903">
        <f t="shared" si="7"/>
        <v>0</v>
      </c>
      <c r="P25" s="903">
        <f t="shared" si="8"/>
        <v>-5871.3746323809555</v>
      </c>
      <c r="Q25" s="903">
        <f t="shared" si="8"/>
        <v>-697.36031488095273</v>
      </c>
      <c r="R25" s="903"/>
      <c r="S25" s="898"/>
      <c r="T25" s="898"/>
      <c r="U25" s="900"/>
      <c r="V25" s="900"/>
    </row>
    <row r="26" spans="1:22" x14ac:dyDescent="0.25">
      <c r="A26" s="950">
        <f t="shared" si="9"/>
        <v>2035</v>
      </c>
      <c r="B26" s="951">
        <f t="shared" si="3"/>
        <v>387759.80642857088</v>
      </c>
      <c r="C26" s="951">
        <f t="shared" si="3"/>
        <v>32738.799999999927</v>
      </c>
      <c r="D26" s="951">
        <f t="shared" si="4"/>
        <v>387759.80642857088</v>
      </c>
      <c r="E26" s="951">
        <f t="shared" si="4"/>
        <v>32738.799999999927</v>
      </c>
      <c r="F26" s="951">
        <f t="shared" si="10"/>
        <v>20209.045676984133</v>
      </c>
      <c r="G26" s="951">
        <f t="shared" si="6"/>
        <v>2399.9855394841279</v>
      </c>
      <c r="H26" s="951">
        <f>F26*(1-'TDM Output'!$N$2)</f>
        <v>14146.331973888893</v>
      </c>
      <c r="I26" s="951">
        <f>G26*(1-'TDM Output'!$N$2)</f>
        <v>1679.9898776388895</v>
      </c>
      <c r="J26" s="1127">
        <f t="shared" si="11"/>
        <v>15.680486340001835</v>
      </c>
      <c r="K26" s="1127">
        <f t="shared" si="12"/>
        <v>12.429758387877621</v>
      </c>
      <c r="L26" s="1127">
        <f t="shared" si="13"/>
        <v>18.598436317594569</v>
      </c>
      <c r="M26" s="1127">
        <f t="shared" si="14"/>
        <v>14.745994400560487</v>
      </c>
      <c r="N26" s="903">
        <f t="shared" si="7"/>
        <v>0</v>
      </c>
      <c r="O26" s="903">
        <f t="shared" si="7"/>
        <v>0</v>
      </c>
      <c r="P26" s="903">
        <f t="shared" si="8"/>
        <v>-6062.7137030952399</v>
      </c>
      <c r="Q26" s="903">
        <f t="shared" si="8"/>
        <v>-719.99566184523837</v>
      </c>
      <c r="R26" s="903"/>
      <c r="S26" s="898"/>
      <c r="T26" s="898"/>
      <c r="U26" s="900"/>
      <c r="V26" s="900"/>
    </row>
    <row r="27" spans="1:22" x14ac:dyDescent="0.25">
      <c r="A27" s="950">
        <f t="shared" si="9"/>
        <v>2036</v>
      </c>
      <c r="B27" s="951">
        <f t="shared" si="3"/>
        <v>382545.97714285657</v>
      </c>
      <c r="C27" s="951">
        <f t="shared" si="3"/>
        <v>32055.819999999927</v>
      </c>
      <c r="D27" s="951">
        <f t="shared" si="4"/>
        <v>382545.97714285657</v>
      </c>
      <c r="E27" s="951">
        <f t="shared" si="4"/>
        <v>32055.819999999927</v>
      </c>
      <c r="F27" s="951">
        <f t="shared" si="10"/>
        <v>20846.842579365086</v>
      </c>
      <c r="G27" s="951">
        <f t="shared" si="6"/>
        <v>2475.436696031747</v>
      </c>
      <c r="H27" s="951">
        <f>F27*(1-'TDM Output'!$N$2)</f>
        <v>14592.78980555556</v>
      </c>
      <c r="I27" s="951">
        <f>G27*(1-'TDM Output'!$N$2)</f>
        <v>1732.8056872222228</v>
      </c>
      <c r="J27" s="1127">
        <f t="shared" si="11"/>
        <v>14.918220059626574</v>
      </c>
      <c r="K27" s="1127">
        <f t="shared" si="12"/>
        <v>11.674100157771175</v>
      </c>
      <c r="L27" s="1127">
        <f t="shared" si="13"/>
        <v>17.963037427549427</v>
      </c>
      <c r="M27" s="1127">
        <f t="shared" si="14"/>
        <v>14.091042084048947</v>
      </c>
      <c r="N27" s="903">
        <f t="shared" si="7"/>
        <v>0</v>
      </c>
      <c r="O27" s="903">
        <f t="shared" si="7"/>
        <v>0</v>
      </c>
      <c r="P27" s="903">
        <f t="shared" si="8"/>
        <v>-6254.0527738095261</v>
      </c>
      <c r="Q27" s="903">
        <f t="shared" si="8"/>
        <v>-742.63100880952425</v>
      </c>
      <c r="R27" s="903"/>
      <c r="S27" s="898"/>
      <c r="T27" s="898"/>
      <c r="U27" s="900"/>
      <c r="V27" s="900"/>
    </row>
    <row r="28" spans="1:22" x14ac:dyDescent="0.25">
      <c r="A28" s="950">
        <f t="shared" si="9"/>
        <v>2037</v>
      </c>
      <c r="B28" s="951">
        <f t="shared" si="3"/>
        <v>377332.14785714226</v>
      </c>
      <c r="C28" s="951">
        <f t="shared" si="3"/>
        <v>31372.839999999927</v>
      </c>
      <c r="D28" s="951">
        <f t="shared" si="4"/>
        <v>377332.14785714226</v>
      </c>
      <c r="E28" s="951">
        <f t="shared" si="4"/>
        <v>31372.839999999927</v>
      </c>
      <c r="F28" s="951">
        <f t="shared" si="10"/>
        <v>21484.639481746039</v>
      </c>
      <c r="G28" s="951">
        <f t="shared" si="6"/>
        <v>2550.8878525793662</v>
      </c>
      <c r="H28" s="951">
        <f>F28*(1-'TDM Output'!$N$2)</f>
        <v>15039.247637222226</v>
      </c>
      <c r="I28" s="951">
        <f>G28*(1-'TDM Output'!$N$2)</f>
        <v>1785.6214968055563</v>
      </c>
      <c r="J28" s="1127">
        <f t="shared" si="11"/>
        <v>14.155953779251313</v>
      </c>
      <c r="K28" s="1127">
        <f t="shared" si="12"/>
        <v>10.918441927664729</v>
      </c>
      <c r="L28" s="1127">
        <f t="shared" si="13"/>
        <v>17.327638537504285</v>
      </c>
      <c r="M28" s="1127">
        <f t="shared" si="14"/>
        <v>13.436089767537407</v>
      </c>
      <c r="N28" s="903">
        <f t="shared" si="7"/>
        <v>0</v>
      </c>
      <c r="O28" s="903">
        <f t="shared" si="7"/>
        <v>0</v>
      </c>
      <c r="P28" s="903">
        <f t="shared" si="8"/>
        <v>-6445.3918445238123</v>
      </c>
      <c r="Q28" s="903">
        <f t="shared" si="8"/>
        <v>-765.26635577380989</v>
      </c>
      <c r="R28" s="903"/>
      <c r="S28" s="898"/>
      <c r="T28" s="898"/>
      <c r="U28" s="900"/>
      <c r="V28" s="900"/>
    </row>
    <row r="29" spans="1:22" x14ac:dyDescent="0.25">
      <c r="A29" s="950">
        <f t="shared" si="9"/>
        <v>2038</v>
      </c>
      <c r="B29" s="951">
        <f t="shared" si="3"/>
        <v>372118.31857142795</v>
      </c>
      <c r="C29" s="951">
        <f t="shared" si="3"/>
        <v>30689.859999999928</v>
      </c>
      <c r="D29" s="951">
        <f t="shared" si="4"/>
        <v>372118.31857142795</v>
      </c>
      <c r="E29" s="951">
        <f t="shared" si="4"/>
        <v>30689.859999999928</v>
      </c>
      <c r="F29" s="951">
        <f t="shared" si="10"/>
        <v>22122.436384126991</v>
      </c>
      <c r="G29" s="951">
        <f t="shared" si="6"/>
        <v>2626.3390091269853</v>
      </c>
      <c r="H29" s="951">
        <f>F29*(1-'TDM Output'!$N$2)</f>
        <v>15485.705468888893</v>
      </c>
      <c r="I29" s="951">
        <f>G29*(1-'TDM Output'!$N$2)</f>
        <v>1838.4373063888895</v>
      </c>
      <c r="J29" s="1127">
        <f t="shared" si="11"/>
        <v>13.393687498876051</v>
      </c>
      <c r="K29" s="1127">
        <f t="shared" si="12"/>
        <v>10.162783697558282</v>
      </c>
      <c r="L29" s="1127">
        <f t="shared" si="13"/>
        <v>16.692239647459143</v>
      </c>
      <c r="M29" s="1127">
        <f t="shared" si="14"/>
        <v>12.781137451025867</v>
      </c>
      <c r="N29" s="903">
        <f t="shared" si="7"/>
        <v>0</v>
      </c>
      <c r="O29" s="903">
        <f t="shared" si="7"/>
        <v>0</v>
      </c>
      <c r="P29" s="903">
        <f t="shared" si="8"/>
        <v>-6636.7309152380985</v>
      </c>
      <c r="Q29" s="903">
        <f t="shared" si="8"/>
        <v>-787.90170273809576</v>
      </c>
      <c r="R29" s="903"/>
      <c r="S29" s="898"/>
      <c r="T29" s="898"/>
      <c r="U29" s="900"/>
      <c r="V29" s="900"/>
    </row>
    <row r="30" spans="1:22" x14ac:dyDescent="0.25">
      <c r="A30" s="950">
        <f t="shared" si="9"/>
        <v>2039</v>
      </c>
      <c r="B30" s="951">
        <f t="shared" si="3"/>
        <v>366904.48928571364</v>
      </c>
      <c r="C30" s="951">
        <f t="shared" si="3"/>
        <v>30006.879999999928</v>
      </c>
      <c r="D30" s="951">
        <f t="shared" si="4"/>
        <v>366904.48928571364</v>
      </c>
      <c r="E30" s="951">
        <f t="shared" si="4"/>
        <v>30006.879999999928</v>
      </c>
      <c r="F30" s="951">
        <f t="shared" si="10"/>
        <v>22760.233286507944</v>
      </c>
      <c r="G30" s="951">
        <f t="shared" si="6"/>
        <v>2701.7901656746044</v>
      </c>
      <c r="H30" s="951">
        <f>F30*(1-'TDM Output'!$N$2)</f>
        <v>15932.16330055556</v>
      </c>
      <c r="I30" s="951">
        <f>G30*(1-'TDM Output'!$N$2)</f>
        <v>1891.253115972223</v>
      </c>
      <c r="J30" s="1127">
        <f t="shared" si="11"/>
        <v>12.63142121850079</v>
      </c>
      <c r="K30" s="1127">
        <f t="shared" si="12"/>
        <v>9.4071254674518361</v>
      </c>
      <c r="L30" s="1127">
        <f t="shared" si="13"/>
        <v>16.056840757414001</v>
      </c>
      <c r="M30" s="1127">
        <f t="shared" si="14"/>
        <v>12.126185134514326</v>
      </c>
      <c r="N30" s="903">
        <f t="shared" si="7"/>
        <v>0</v>
      </c>
      <c r="O30" s="903">
        <f t="shared" si="7"/>
        <v>0</v>
      </c>
      <c r="P30" s="903">
        <f t="shared" si="8"/>
        <v>-6828.0699859523847</v>
      </c>
      <c r="Q30" s="903">
        <f t="shared" si="8"/>
        <v>-810.53704970238141</v>
      </c>
      <c r="R30" s="903"/>
      <c r="S30" s="898"/>
      <c r="T30" s="898"/>
      <c r="U30" s="900"/>
      <c r="V30" s="900"/>
    </row>
    <row r="31" spans="1:22" x14ac:dyDescent="0.25">
      <c r="A31" s="950">
        <f t="shared" si="9"/>
        <v>2040</v>
      </c>
      <c r="B31" s="1128">
        <f>'TDM Output'!I3</f>
        <v>361690.66000000003</v>
      </c>
      <c r="C31" s="1129">
        <f>'TDM Output'!I4</f>
        <v>29323.9</v>
      </c>
      <c r="D31" s="1129">
        <f>B31</f>
        <v>361690.66000000003</v>
      </c>
      <c r="E31" s="1129">
        <f>C31</f>
        <v>29323.9</v>
      </c>
      <c r="F31" s="1128">
        <f>'TDM Output'!I18</f>
        <v>23398.030188888886</v>
      </c>
      <c r="G31" s="1129">
        <f>'TDM Output'!I19</f>
        <v>2777.2413222222222</v>
      </c>
      <c r="H31" s="1129">
        <f>'TDM Output'!J18</f>
        <v>16378.621132222219</v>
      </c>
      <c r="I31" s="1129">
        <f>'TDM Output'!J19</f>
        <v>1944.0689255555553</v>
      </c>
      <c r="J31" s="1156">
        <f>'TDM Output'!I3/'TDM Output'!I8</f>
        <v>11.869154938125536</v>
      </c>
      <c r="K31" s="1156">
        <f>'TDM Output'!I4/'TDM Output'!I9</f>
        <v>8.65146723734542</v>
      </c>
      <c r="L31" s="1156">
        <f>'TDM Output'!I3/('TDM Output'!I8-('TDM Output'!I18-'TDM Output'!J18))</f>
        <v>15.42144186736885</v>
      </c>
      <c r="M31" s="1156">
        <f>'TDM Output'!I4/('TDM Output'!I9-('TDM Output'!I19-'TDM Output'!J19))</f>
        <v>11.471232818002786</v>
      </c>
      <c r="N31" s="903">
        <f t="shared" si="7"/>
        <v>0</v>
      </c>
      <c r="O31" s="903">
        <f t="shared" si="7"/>
        <v>0</v>
      </c>
      <c r="P31" s="903">
        <f t="shared" si="8"/>
        <v>-7019.4090566666673</v>
      </c>
      <c r="Q31" s="903">
        <f t="shared" si="8"/>
        <v>-833.17239666666683</v>
      </c>
      <c r="R31" s="903"/>
      <c r="S31" s="898"/>
      <c r="T31" s="898"/>
      <c r="U31" s="900"/>
      <c r="V31" s="900"/>
    </row>
    <row r="32" spans="1:22" x14ac:dyDescent="0.25">
      <c r="A32" s="950">
        <f t="shared" si="9"/>
        <v>2041</v>
      </c>
      <c r="B32" s="1087">
        <f>B31*'Rates - Single'!$C$212</f>
        <v>361690.66000000003</v>
      </c>
      <c r="C32" s="1087">
        <f>C31*'Rates - Single'!$C$212</f>
        <v>29323.9</v>
      </c>
      <c r="D32" s="1087">
        <f>D31*'Rates - Single'!$C$212</f>
        <v>361690.66000000003</v>
      </c>
      <c r="E32" s="1087">
        <f>E31*'Rates - Single'!$C$212</f>
        <v>29323.9</v>
      </c>
      <c r="F32" s="1087">
        <f>F31*'Rates - Single'!$C$212</f>
        <v>23398.030188888886</v>
      </c>
      <c r="G32" s="1087">
        <f>G31*'Rates - Single'!$C$212</f>
        <v>2777.2413222222222</v>
      </c>
      <c r="H32" s="951">
        <f>F32*(1-'TDM Output'!$N$2)</f>
        <v>16378.621132222219</v>
      </c>
      <c r="I32" s="951">
        <f>G32*(1-'TDM Output'!$N$2)</f>
        <v>1944.0689255555553</v>
      </c>
      <c r="J32" s="1158">
        <f>J31</f>
        <v>11.869154938125536</v>
      </c>
      <c r="K32" s="1158">
        <f t="shared" ref="K32:K52" si="15">K31</f>
        <v>8.65146723734542</v>
      </c>
      <c r="L32" s="1158">
        <f t="shared" ref="L32:L52" si="16">L31</f>
        <v>15.42144186736885</v>
      </c>
      <c r="M32" s="1158">
        <f t="shared" ref="M32:M52" si="17">M31</f>
        <v>11.471232818002786</v>
      </c>
      <c r="N32" s="903">
        <f t="shared" ref="N32:N52" si="18">D32-B32</f>
        <v>0</v>
      </c>
      <c r="O32" s="903">
        <f t="shared" ref="O32:O52" si="19">E32-C32</f>
        <v>0</v>
      </c>
      <c r="P32" s="903">
        <f t="shared" ref="P32:P52" si="20">H32-F32</f>
        <v>-7019.4090566666673</v>
      </c>
      <c r="Q32" s="903">
        <f t="shared" ref="Q32:Q52" si="21">I32-G32</f>
        <v>-833.17239666666683</v>
      </c>
    </row>
    <row r="33" spans="1:17" x14ac:dyDescent="0.25">
      <c r="A33" s="950">
        <f t="shared" si="9"/>
        <v>2042</v>
      </c>
      <c r="B33" s="1087">
        <f>B32*'Rates - Single'!$C$212</f>
        <v>361690.66000000003</v>
      </c>
      <c r="C33" s="1087">
        <f>C32*'Rates - Single'!$C$212</f>
        <v>29323.9</v>
      </c>
      <c r="D33" s="1087">
        <f>D32*'Rates - Single'!$C$212</f>
        <v>361690.66000000003</v>
      </c>
      <c r="E33" s="1087">
        <f>E32*'Rates - Single'!$C$212</f>
        <v>29323.9</v>
      </c>
      <c r="F33" s="1087">
        <f>F32*'Rates - Single'!$C$212</f>
        <v>23398.030188888886</v>
      </c>
      <c r="G33" s="1087">
        <f>G32*'Rates - Single'!$C$212</f>
        <v>2777.2413222222222</v>
      </c>
      <c r="H33" s="951">
        <f>F33*(1-'TDM Output'!$N$2)</f>
        <v>16378.621132222219</v>
      </c>
      <c r="I33" s="951">
        <f>G33*(1-'TDM Output'!$N$2)</f>
        <v>1944.0689255555553</v>
      </c>
      <c r="J33" s="1158">
        <f t="shared" ref="J33:J52" si="22">J32</f>
        <v>11.869154938125536</v>
      </c>
      <c r="K33" s="1158">
        <f t="shared" si="15"/>
        <v>8.65146723734542</v>
      </c>
      <c r="L33" s="1158">
        <f t="shared" si="16"/>
        <v>15.42144186736885</v>
      </c>
      <c r="M33" s="1158">
        <f t="shared" si="17"/>
        <v>11.471232818002786</v>
      </c>
      <c r="N33" s="903">
        <f t="shared" si="18"/>
        <v>0</v>
      </c>
      <c r="O33" s="903">
        <f t="shared" si="19"/>
        <v>0</v>
      </c>
      <c r="P33" s="903">
        <f t="shared" si="20"/>
        <v>-7019.4090566666673</v>
      </c>
      <c r="Q33" s="903">
        <f t="shared" si="21"/>
        <v>-833.17239666666683</v>
      </c>
    </row>
    <row r="34" spans="1:17" x14ac:dyDescent="0.25">
      <c r="A34" s="950">
        <f t="shared" si="9"/>
        <v>2043</v>
      </c>
      <c r="B34" s="1087">
        <f>B33*'Rates - Single'!$C$212</f>
        <v>361690.66000000003</v>
      </c>
      <c r="C34" s="1087">
        <f>C33*'Rates - Single'!$C$212</f>
        <v>29323.9</v>
      </c>
      <c r="D34" s="1087">
        <f>D33*'Rates - Single'!$C$212</f>
        <v>361690.66000000003</v>
      </c>
      <c r="E34" s="1087">
        <f>E33*'Rates - Single'!$C$212</f>
        <v>29323.9</v>
      </c>
      <c r="F34" s="1087">
        <f>F33*'Rates - Single'!$C$212</f>
        <v>23398.030188888886</v>
      </c>
      <c r="G34" s="1087">
        <f>G33*'Rates - Single'!$C$212</f>
        <v>2777.2413222222222</v>
      </c>
      <c r="H34" s="951">
        <f>F34*(1-'TDM Output'!$N$2)</f>
        <v>16378.621132222219</v>
      </c>
      <c r="I34" s="951">
        <f>G34*(1-'TDM Output'!$N$2)</f>
        <v>1944.0689255555553</v>
      </c>
      <c r="J34" s="1158">
        <f t="shared" si="22"/>
        <v>11.869154938125536</v>
      </c>
      <c r="K34" s="1158">
        <f t="shared" si="15"/>
        <v>8.65146723734542</v>
      </c>
      <c r="L34" s="1158">
        <f t="shared" si="16"/>
        <v>15.42144186736885</v>
      </c>
      <c r="M34" s="1158">
        <f t="shared" si="17"/>
        <v>11.471232818002786</v>
      </c>
      <c r="N34" s="903">
        <f t="shared" si="18"/>
        <v>0</v>
      </c>
      <c r="O34" s="903">
        <f t="shared" si="19"/>
        <v>0</v>
      </c>
      <c r="P34" s="903">
        <f t="shared" si="20"/>
        <v>-7019.4090566666673</v>
      </c>
      <c r="Q34" s="903">
        <f t="shared" si="21"/>
        <v>-833.17239666666683</v>
      </c>
    </row>
    <row r="35" spans="1:17" x14ac:dyDescent="0.25">
      <c r="A35" s="950">
        <f t="shared" si="9"/>
        <v>2044</v>
      </c>
      <c r="B35" s="1087">
        <f>B34*'Rates - Single'!$C$212</f>
        <v>361690.66000000003</v>
      </c>
      <c r="C35" s="1087">
        <f>C34*'Rates - Single'!$C$212</f>
        <v>29323.9</v>
      </c>
      <c r="D35" s="1087">
        <f>D34*'Rates - Single'!$C$212</f>
        <v>361690.66000000003</v>
      </c>
      <c r="E35" s="1087">
        <f>E34*'Rates - Single'!$C$212</f>
        <v>29323.9</v>
      </c>
      <c r="F35" s="1087">
        <f>F34*'Rates - Single'!$C$212</f>
        <v>23398.030188888886</v>
      </c>
      <c r="G35" s="1087">
        <f>G34*'Rates - Single'!$C$212</f>
        <v>2777.2413222222222</v>
      </c>
      <c r="H35" s="951">
        <f>F35*(1-'TDM Output'!$N$2)</f>
        <v>16378.621132222219</v>
      </c>
      <c r="I35" s="951">
        <f>G35*(1-'TDM Output'!$N$2)</f>
        <v>1944.0689255555553</v>
      </c>
      <c r="J35" s="1158">
        <f t="shared" si="22"/>
        <v>11.869154938125536</v>
      </c>
      <c r="K35" s="1158">
        <f t="shared" si="15"/>
        <v>8.65146723734542</v>
      </c>
      <c r="L35" s="1158">
        <f t="shared" si="16"/>
        <v>15.42144186736885</v>
      </c>
      <c r="M35" s="1158">
        <f t="shared" si="17"/>
        <v>11.471232818002786</v>
      </c>
      <c r="N35" s="903">
        <f t="shared" si="18"/>
        <v>0</v>
      </c>
      <c r="O35" s="903">
        <f t="shared" si="19"/>
        <v>0</v>
      </c>
      <c r="P35" s="903">
        <f t="shared" si="20"/>
        <v>-7019.4090566666673</v>
      </c>
      <c r="Q35" s="903">
        <f t="shared" si="21"/>
        <v>-833.17239666666683</v>
      </c>
    </row>
    <row r="36" spans="1:17" x14ac:dyDescent="0.25">
      <c r="A36" s="950">
        <f t="shared" si="9"/>
        <v>2045</v>
      </c>
      <c r="B36" s="1087">
        <f>B35*'Rates - Single'!$C$212</f>
        <v>361690.66000000003</v>
      </c>
      <c r="C36" s="1087">
        <f>C35*'Rates - Single'!$C$212</f>
        <v>29323.9</v>
      </c>
      <c r="D36" s="1087">
        <f>D35*'Rates - Single'!$C$212</f>
        <v>361690.66000000003</v>
      </c>
      <c r="E36" s="1087">
        <f>E35*'Rates - Single'!$C$212</f>
        <v>29323.9</v>
      </c>
      <c r="F36" s="1087">
        <f>F35*'Rates - Single'!$C$212</f>
        <v>23398.030188888886</v>
      </c>
      <c r="G36" s="1087">
        <f>G35*'Rates - Single'!$C$212</f>
        <v>2777.2413222222222</v>
      </c>
      <c r="H36" s="951">
        <f>F36*(1-'TDM Output'!$N$2)</f>
        <v>16378.621132222219</v>
      </c>
      <c r="I36" s="951">
        <f>G36*(1-'TDM Output'!$N$2)</f>
        <v>1944.0689255555553</v>
      </c>
      <c r="J36" s="1158">
        <f t="shared" si="22"/>
        <v>11.869154938125536</v>
      </c>
      <c r="K36" s="1158">
        <f t="shared" si="15"/>
        <v>8.65146723734542</v>
      </c>
      <c r="L36" s="1158">
        <f t="shared" si="16"/>
        <v>15.42144186736885</v>
      </c>
      <c r="M36" s="1158">
        <f t="shared" si="17"/>
        <v>11.471232818002786</v>
      </c>
      <c r="N36" s="903">
        <f t="shared" si="18"/>
        <v>0</v>
      </c>
      <c r="O36" s="903">
        <f t="shared" si="19"/>
        <v>0</v>
      </c>
      <c r="P36" s="903">
        <f t="shared" si="20"/>
        <v>-7019.4090566666673</v>
      </c>
      <c r="Q36" s="903">
        <f t="shared" si="21"/>
        <v>-833.17239666666683</v>
      </c>
    </row>
    <row r="37" spans="1:17" x14ac:dyDescent="0.25">
      <c r="A37" s="950">
        <f t="shared" si="9"/>
        <v>2046</v>
      </c>
      <c r="B37" s="1087">
        <f>B36*'Rates - Single'!$C$212</f>
        <v>361690.66000000003</v>
      </c>
      <c r="C37" s="1087">
        <f>C36*'Rates - Single'!$C$212</f>
        <v>29323.9</v>
      </c>
      <c r="D37" s="1087">
        <f>D36*'Rates - Single'!$C$212</f>
        <v>361690.66000000003</v>
      </c>
      <c r="E37" s="1087">
        <f>E36*'Rates - Single'!$C$212</f>
        <v>29323.9</v>
      </c>
      <c r="F37" s="1087">
        <f>F36*'Rates - Single'!$C$212</f>
        <v>23398.030188888886</v>
      </c>
      <c r="G37" s="1087">
        <f>G36*'Rates - Single'!$C$212</f>
        <v>2777.2413222222222</v>
      </c>
      <c r="H37" s="951">
        <f>F37*(1-'TDM Output'!$N$2)</f>
        <v>16378.621132222219</v>
      </c>
      <c r="I37" s="951">
        <f>G37*(1-'TDM Output'!$N$2)</f>
        <v>1944.0689255555553</v>
      </c>
      <c r="J37" s="1158">
        <f t="shared" si="22"/>
        <v>11.869154938125536</v>
      </c>
      <c r="K37" s="1158">
        <f t="shared" si="15"/>
        <v>8.65146723734542</v>
      </c>
      <c r="L37" s="1158">
        <f t="shared" si="16"/>
        <v>15.42144186736885</v>
      </c>
      <c r="M37" s="1158">
        <f t="shared" si="17"/>
        <v>11.471232818002786</v>
      </c>
      <c r="N37" s="903">
        <f t="shared" si="18"/>
        <v>0</v>
      </c>
      <c r="O37" s="903">
        <f t="shared" si="19"/>
        <v>0</v>
      </c>
      <c r="P37" s="903">
        <f t="shared" si="20"/>
        <v>-7019.4090566666673</v>
      </c>
      <c r="Q37" s="903">
        <f t="shared" si="21"/>
        <v>-833.17239666666683</v>
      </c>
    </row>
    <row r="38" spans="1:17" x14ac:dyDescent="0.25">
      <c r="A38" s="950">
        <f t="shared" si="9"/>
        <v>2047</v>
      </c>
      <c r="B38" s="1087">
        <f>B37*'Rates - Single'!$C$212</f>
        <v>361690.66000000003</v>
      </c>
      <c r="C38" s="1087">
        <f>C37*'Rates - Single'!$C$212</f>
        <v>29323.9</v>
      </c>
      <c r="D38" s="1087">
        <f>D37*'Rates - Single'!$C$212</f>
        <v>361690.66000000003</v>
      </c>
      <c r="E38" s="1087">
        <f>E37*'Rates - Single'!$C$212</f>
        <v>29323.9</v>
      </c>
      <c r="F38" s="1087">
        <f>F37*'Rates - Single'!$C$212</f>
        <v>23398.030188888886</v>
      </c>
      <c r="G38" s="1087">
        <f>G37*'Rates - Single'!$C$212</f>
        <v>2777.2413222222222</v>
      </c>
      <c r="H38" s="951">
        <f>F38*(1-'TDM Output'!$N$2)</f>
        <v>16378.621132222219</v>
      </c>
      <c r="I38" s="951">
        <f>G38*(1-'TDM Output'!$N$2)</f>
        <v>1944.0689255555553</v>
      </c>
      <c r="J38" s="1158">
        <f t="shared" si="22"/>
        <v>11.869154938125536</v>
      </c>
      <c r="K38" s="1158">
        <f t="shared" si="15"/>
        <v>8.65146723734542</v>
      </c>
      <c r="L38" s="1158">
        <f t="shared" si="16"/>
        <v>15.42144186736885</v>
      </c>
      <c r="M38" s="1158">
        <f t="shared" si="17"/>
        <v>11.471232818002786</v>
      </c>
      <c r="N38" s="903">
        <f t="shared" si="18"/>
        <v>0</v>
      </c>
      <c r="O38" s="903">
        <f t="shared" si="19"/>
        <v>0</v>
      </c>
      <c r="P38" s="903">
        <f t="shared" si="20"/>
        <v>-7019.4090566666673</v>
      </c>
      <c r="Q38" s="903">
        <f t="shared" si="21"/>
        <v>-833.17239666666683</v>
      </c>
    </row>
    <row r="39" spans="1:17" x14ac:dyDescent="0.25">
      <c r="A39" s="950">
        <f t="shared" si="9"/>
        <v>2048</v>
      </c>
      <c r="B39" s="1087">
        <f>B38*'Rates - Single'!$C$212</f>
        <v>361690.66000000003</v>
      </c>
      <c r="C39" s="1087">
        <f>C38*'Rates - Single'!$C$212</f>
        <v>29323.9</v>
      </c>
      <c r="D39" s="1087">
        <f>D38*'Rates - Single'!$C$212</f>
        <v>361690.66000000003</v>
      </c>
      <c r="E39" s="1087">
        <f>E38*'Rates - Single'!$C$212</f>
        <v>29323.9</v>
      </c>
      <c r="F39" s="1087">
        <f>F38*'Rates - Single'!$C$212</f>
        <v>23398.030188888886</v>
      </c>
      <c r="G39" s="1087">
        <f>G38*'Rates - Single'!$C$212</f>
        <v>2777.2413222222222</v>
      </c>
      <c r="H39" s="951">
        <f>F39*(1-'TDM Output'!$N$2)</f>
        <v>16378.621132222219</v>
      </c>
      <c r="I39" s="951">
        <f>G39*(1-'TDM Output'!$N$2)</f>
        <v>1944.0689255555553</v>
      </c>
      <c r="J39" s="1158">
        <f t="shared" si="22"/>
        <v>11.869154938125536</v>
      </c>
      <c r="K39" s="1158">
        <f t="shared" si="15"/>
        <v>8.65146723734542</v>
      </c>
      <c r="L39" s="1158">
        <f t="shared" si="16"/>
        <v>15.42144186736885</v>
      </c>
      <c r="M39" s="1158">
        <f t="shared" si="17"/>
        <v>11.471232818002786</v>
      </c>
      <c r="N39" s="903">
        <f t="shared" si="18"/>
        <v>0</v>
      </c>
      <c r="O39" s="903">
        <f t="shared" si="19"/>
        <v>0</v>
      </c>
      <c r="P39" s="903">
        <f t="shared" si="20"/>
        <v>-7019.4090566666673</v>
      </c>
      <c r="Q39" s="903">
        <f t="shared" si="21"/>
        <v>-833.17239666666683</v>
      </c>
    </row>
    <row r="40" spans="1:17" x14ac:dyDescent="0.25">
      <c r="A40" s="950">
        <f t="shared" si="9"/>
        <v>2049</v>
      </c>
      <c r="B40" s="1087">
        <f>B39*'Rates - Single'!$C$212</f>
        <v>361690.66000000003</v>
      </c>
      <c r="C40" s="1087">
        <f>C39*'Rates - Single'!$C$212</f>
        <v>29323.9</v>
      </c>
      <c r="D40" s="1087">
        <f>D39*'Rates - Single'!$C$212</f>
        <v>361690.66000000003</v>
      </c>
      <c r="E40" s="1087">
        <f>E39*'Rates - Single'!$C$212</f>
        <v>29323.9</v>
      </c>
      <c r="F40" s="1087">
        <f>F39*'Rates - Single'!$C$212</f>
        <v>23398.030188888886</v>
      </c>
      <c r="G40" s="1087">
        <f>G39*'Rates - Single'!$C$212</f>
        <v>2777.2413222222222</v>
      </c>
      <c r="H40" s="951">
        <f>F40*(1-'TDM Output'!$N$2)</f>
        <v>16378.621132222219</v>
      </c>
      <c r="I40" s="951">
        <f>G40*(1-'TDM Output'!$N$2)</f>
        <v>1944.0689255555553</v>
      </c>
      <c r="J40" s="1158">
        <f t="shared" si="22"/>
        <v>11.869154938125536</v>
      </c>
      <c r="K40" s="1158">
        <f t="shared" si="15"/>
        <v>8.65146723734542</v>
      </c>
      <c r="L40" s="1158">
        <f t="shared" si="16"/>
        <v>15.42144186736885</v>
      </c>
      <c r="M40" s="1158">
        <f t="shared" si="17"/>
        <v>11.471232818002786</v>
      </c>
      <c r="N40" s="903">
        <f t="shared" si="18"/>
        <v>0</v>
      </c>
      <c r="O40" s="903">
        <f t="shared" si="19"/>
        <v>0</v>
      </c>
      <c r="P40" s="903">
        <f t="shared" si="20"/>
        <v>-7019.4090566666673</v>
      </c>
      <c r="Q40" s="903">
        <f t="shared" si="21"/>
        <v>-833.17239666666683</v>
      </c>
    </row>
    <row r="41" spans="1:17" x14ac:dyDescent="0.25">
      <c r="A41" s="950">
        <f t="shared" si="9"/>
        <v>2050</v>
      </c>
      <c r="B41" s="1087">
        <f>B40*'Rates - Single'!$C$212</f>
        <v>361690.66000000003</v>
      </c>
      <c r="C41" s="1087">
        <f>C40*'Rates - Single'!$C$212</f>
        <v>29323.9</v>
      </c>
      <c r="D41" s="1087">
        <f>D40*'Rates - Single'!$C$212</f>
        <v>361690.66000000003</v>
      </c>
      <c r="E41" s="1087">
        <f>E40*'Rates - Single'!$C$212</f>
        <v>29323.9</v>
      </c>
      <c r="F41" s="1087">
        <f>F40*'Rates - Single'!$C$212</f>
        <v>23398.030188888886</v>
      </c>
      <c r="G41" s="1087">
        <f>G40*'Rates - Single'!$C$212</f>
        <v>2777.2413222222222</v>
      </c>
      <c r="H41" s="951">
        <f>F41*(1-'TDM Output'!$N$2)</f>
        <v>16378.621132222219</v>
      </c>
      <c r="I41" s="951">
        <f>G41*(1-'TDM Output'!$N$2)</f>
        <v>1944.0689255555553</v>
      </c>
      <c r="J41" s="1158">
        <f t="shared" si="22"/>
        <v>11.869154938125536</v>
      </c>
      <c r="K41" s="1158">
        <f t="shared" si="15"/>
        <v>8.65146723734542</v>
      </c>
      <c r="L41" s="1158">
        <f t="shared" si="16"/>
        <v>15.42144186736885</v>
      </c>
      <c r="M41" s="1158">
        <f t="shared" si="17"/>
        <v>11.471232818002786</v>
      </c>
      <c r="N41" s="903">
        <f t="shared" si="18"/>
        <v>0</v>
      </c>
      <c r="O41" s="903">
        <f t="shared" si="19"/>
        <v>0</v>
      </c>
      <c r="P41" s="903">
        <f t="shared" si="20"/>
        <v>-7019.4090566666673</v>
      </c>
      <c r="Q41" s="903">
        <f t="shared" si="21"/>
        <v>-833.17239666666683</v>
      </c>
    </row>
    <row r="42" spans="1:17" x14ac:dyDescent="0.25">
      <c r="A42" s="950">
        <f t="shared" si="9"/>
        <v>2051</v>
      </c>
      <c r="B42" s="1087">
        <f>B41*'Rates - Single'!$C$212</f>
        <v>361690.66000000003</v>
      </c>
      <c r="C42" s="1087">
        <f>C41*'Rates - Single'!$C$212</f>
        <v>29323.9</v>
      </c>
      <c r="D42" s="1087">
        <f>D41*'Rates - Single'!$C$212</f>
        <v>361690.66000000003</v>
      </c>
      <c r="E42" s="1087">
        <f>E41*'Rates - Single'!$C$212</f>
        <v>29323.9</v>
      </c>
      <c r="F42" s="1087">
        <f>F41*'Rates - Single'!$C$212</f>
        <v>23398.030188888886</v>
      </c>
      <c r="G42" s="1087">
        <f>G41*'Rates - Single'!$C$212</f>
        <v>2777.2413222222222</v>
      </c>
      <c r="H42" s="951">
        <f>F42*(1-'TDM Output'!$N$2)</f>
        <v>16378.621132222219</v>
      </c>
      <c r="I42" s="951">
        <f>G42*(1-'TDM Output'!$N$2)</f>
        <v>1944.0689255555553</v>
      </c>
      <c r="J42" s="1158">
        <f t="shared" si="22"/>
        <v>11.869154938125536</v>
      </c>
      <c r="K42" s="1158">
        <f t="shared" si="15"/>
        <v>8.65146723734542</v>
      </c>
      <c r="L42" s="1158">
        <f t="shared" si="16"/>
        <v>15.42144186736885</v>
      </c>
      <c r="M42" s="1158">
        <f t="shared" si="17"/>
        <v>11.471232818002786</v>
      </c>
      <c r="N42" s="903">
        <f t="shared" si="18"/>
        <v>0</v>
      </c>
      <c r="O42" s="903">
        <f t="shared" si="19"/>
        <v>0</v>
      </c>
      <c r="P42" s="903">
        <f t="shared" si="20"/>
        <v>-7019.4090566666673</v>
      </c>
      <c r="Q42" s="903">
        <f t="shared" si="21"/>
        <v>-833.17239666666683</v>
      </c>
    </row>
    <row r="43" spans="1:17" x14ac:dyDescent="0.25">
      <c r="A43" s="950">
        <f t="shared" si="9"/>
        <v>2052</v>
      </c>
      <c r="B43" s="1087">
        <f>B42*'Rates - Single'!$C$212</f>
        <v>361690.66000000003</v>
      </c>
      <c r="C43" s="1087">
        <f>C42*'Rates - Single'!$C$212</f>
        <v>29323.9</v>
      </c>
      <c r="D43" s="1087">
        <f>D42*'Rates - Single'!$C$212</f>
        <v>361690.66000000003</v>
      </c>
      <c r="E43" s="1087">
        <f>E42*'Rates - Single'!$C$212</f>
        <v>29323.9</v>
      </c>
      <c r="F43" s="1087">
        <f>F42*'Rates - Single'!$C$212</f>
        <v>23398.030188888886</v>
      </c>
      <c r="G43" s="1087">
        <f>G42*'Rates - Single'!$C$212</f>
        <v>2777.2413222222222</v>
      </c>
      <c r="H43" s="951">
        <f>F43*(1-'TDM Output'!$N$2)</f>
        <v>16378.621132222219</v>
      </c>
      <c r="I43" s="951">
        <f>G43*(1-'TDM Output'!$N$2)</f>
        <v>1944.0689255555553</v>
      </c>
      <c r="J43" s="1158">
        <f t="shared" si="22"/>
        <v>11.869154938125536</v>
      </c>
      <c r="K43" s="1158">
        <f t="shared" si="15"/>
        <v>8.65146723734542</v>
      </c>
      <c r="L43" s="1158">
        <f t="shared" si="16"/>
        <v>15.42144186736885</v>
      </c>
      <c r="M43" s="1158">
        <f t="shared" si="17"/>
        <v>11.471232818002786</v>
      </c>
      <c r="N43" s="903">
        <f t="shared" si="18"/>
        <v>0</v>
      </c>
      <c r="O43" s="903">
        <f t="shared" si="19"/>
        <v>0</v>
      </c>
      <c r="P43" s="903">
        <f t="shared" si="20"/>
        <v>-7019.4090566666673</v>
      </c>
      <c r="Q43" s="903">
        <f t="shared" si="21"/>
        <v>-833.17239666666683</v>
      </c>
    </row>
    <row r="44" spans="1:17" x14ac:dyDescent="0.25">
      <c r="A44" s="950">
        <f t="shared" si="9"/>
        <v>2053</v>
      </c>
      <c r="B44" s="1087">
        <f>B43*'Rates - Single'!$C$212</f>
        <v>361690.66000000003</v>
      </c>
      <c r="C44" s="1087">
        <f>C43*'Rates - Single'!$C$212</f>
        <v>29323.9</v>
      </c>
      <c r="D44" s="1087">
        <f>D43*'Rates - Single'!$C$212</f>
        <v>361690.66000000003</v>
      </c>
      <c r="E44" s="1087">
        <f>E43*'Rates - Single'!$C$212</f>
        <v>29323.9</v>
      </c>
      <c r="F44" s="1087">
        <f>F43*'Rates - Single'!$C$212</f>
        <v>23398.030188888886</v>
      </c>
      <c r="G44" s="1087">
        <f>G43*'Rates - Single'!$C$212</f>
        <v>2777.2413222222222</v>
      </c>
      <c r="H44" s="951">
        <f>F44*(1-'TDM Output'!$N$2)</f>
        <v>16378.621132222219</v>
      </c>
      <c r="I44" s="951">
        <f>G44*(1-'TDM Output'!$N$2)</f>
        <v>1944.0689255555553</v>
      </c>
      <c r="J44" s="1158">
        <f t="shared" si="22"/>
        <v>11.869154938125536</v>
      </c>
      <c r="K44" s="1158">
        <f t="shared" si="15"/>
        <v>8.65146723734542</v>
      </c>
      <c r="L44" s="1158">
        <f t="shared" si="16"/>
        <v>15.42144186736885</v>
      </c>
      <c r="M44" s="1158">
        <f t="shared" si="17"/>
        <v>11.471232818002786</v>
      </c>
      <c r="N44" s="903">
        <f t="shared" si="18"/>
        <v>0</v>
      </c>
      <c r="O44" s="903">
        <f t="shared" si="19"/>
        <v>0</v>
      </c>
      <c r="P44" s="903">
        <f t="shared" si="20"/>
        <v>-7019.4090566666673</v>
      </c>
      <c r="Q44" s="903">
        <f t="shared" si="21"/>
        <v>-833.17239666666683</v>
      </c>
    </row>
    <row r="45" spans="1:17" x14ac:dyDescent="0.25">
      <c r="A45" s="950">
        <f t="shared" si="9"/>
        <v>2054</v>
      </c>
      <c r="B45" s="1087">
        <f>B44*'Rates - Single'!$C$212</f>
        <v>361690.66000000003</v>
      </c>
      <c r="C45" s="1087">
        <f>C44*'Rates - Single'!$C$212</f>
        <v>29323.9</v>
      </c>
      <c r="D45" s="1087">
        <f>D44*'Rates - Single'!$C$212</f>
        <v>361690.66000000003</v>
      </c>
      <c r="E45" s="1087">
        <f>E44*'Rates - Single'!$C$212</f>
        <v>29323.9</v>
      </c>
      <c r="F45" s="1087">
        <f>F44*'Rates - Single'!$C$212</f>
        <v>23398.030188888886</v>
      </c>
      <c r="G45" s="1087">
        <f>G44*'Rates - Single'!$C$212</f>
        <v>2777.2413222222222</v>
      </c>
      <c r="H45" s="951">
        <f>F45*(1-'TDM Output'!$N$2)</f>
        <v>16378.621132222219</v>
      </c>
      <c r="I45" s="951">
        <f>G45*(1-'TDM Output'!$N$2)</f>
        <v>1944.0689255555553</v>
      </c>
      <c r="J45" s="1158">
        <f t="shared" si="22"/>
        <v>11.869154938125536</v>
      </c>
      <c r="K45" s="1158">
        <f t="shared" si="15"/>
        <v>8.65146723734542</v>
      </c>
      <c r="L45" s="1158">
        <f t="shared" si="16"/>
        <v>15.42144186736885</v>
      </c>
      <c r="M45" s="1158">
        <f t="shared" si="17"/>
        <v>11.471232818002786</v>
      </c>
      <c r="N45" s="903">
        <f t="shared" si="18"/>
        <v>0</v>
      </c>
      <c r="O45" s="903">
        <f t="shared" si="19"/>
        <v>0</v>
      </c>
      <c r="P45" s="903">
        <f t="shared" si="20"/>
        <v>-7019.4090566666673</v>
      </c>
      <c r="Q45" s="903">
        <f t="shared" si="21"/>
        <v>-833.17239666666683</v>
      </c>
    </row>
    <row r="46" spans="1:17" x14ac:dyDescent="0.25">
      <c r="A46" s="950">
        <f t="shared" si="9"/>
        <v>2055</v>
      </c>
      <c r="B46" s="1087">
        <f>B45*'Rates - Single'!$C$212</f>
        <v>361690.66000000003</v>
      </c>
      <c r="C46" s="1087">
        <f>C45*'Rates - Single'!$C$212</f>
        <v>29323.9</v>
      </c>
      <c r="D46" s="1087">
        <f>D45*'Rates - Single'!$C$212</f>
        <v>361690.66000000003</v>
      </c>
      <c r="E46" s="1087">
        <f>E45*'Rates - Single'!$C$212</f>
        <v>29323.9</v>
      </c>
      <c r="F46" s="1087">
        <f>F45*'Rates - Single'!$C$212</f>
        <v>23398.030188888886</v>
      </c>
      <c r="G46" s="1087">
        <f>G45*'Rates - Single'!$C$212</f>
        <v>2777.2413222222222</v>
      </c>
      <c r="H46" s="951">
        <f>F46*(1-'TDM Output'!$N$2)</f>
        <v>16378.621132222219</v>
      </c>
      <c r="I46" s="951">
        <f>G46*(1-'TDM Output'!$N$2)</f>
        <v>1944.0689255555553</v>
      </c>
      <c r="J46" s="1158">
        <f t="shared" si="22"/>
        <v>11.869154938125536</v>
      </c>
      <c r="K46" s="1158">
        <f t="shared" si="15"/>
        <v>8.65146723734542</v>
      </c>
      <c r="L46" s="1158">
        <f t="shared" si="16"/>
        <v>15.42144186736885</v>
      </c>
      <c r="M46" s="1158">
        <f t="shared" si="17"/>
        <v>11.471232818002786</v>
      </c>
      <c r="N46" s="903">
        <f t="shared" si="18"/>
        <v>0</v>
      </c>
      <c r="O46" s="903">
        <f t="shared" si="19"/>
        <v>0</v>
      </c>
      <c r="P46" s="903">
        <f t="shared" si="20"/>
        <v>-7019.4090566666673</v>
      </c>
      <c r="Q46" s="903">
        <f t="shared" si="21"/>
        <v>-833.17239666666683</v>
      </c>
    </row>
    <row r="47" spans="1:17" x14ac:dyDescent="0.25">
      <c r="A47" s="950">
        <f t="shared" si="9"/>
        <v>2056</v>
      </c>
      <c r="B47" s="1087">
        <f>B46*'Rates - Single'!$C$212</f>
        <v>361690.66000000003</v>
      </c>
      <c r="C47" s="1087">
        <f>C46*'Rates - Single'!$C$212</f>
        <v>29323.9</v>
      </c>
      <c r="D47" s="1087">
        <f>D46*'Rates - Single'!$C$212</f>
        <v>361690.66000000003</v>
      </c>
      <c r="E47" s="1087">
        <f>E46*'Rates - Single'!$C$212</f>
        <v>29323.9</v>
      </c>
      <c r="F47" s="1087">
        <f>F46*'Rates - Single'!$C$212</f>
        <v>23398.030188888886</v>
      </c>
      <c r="G47" s="1087">
        <f>G46*'Rates - Single'!$C$212</f>
        <v>2777.2413222222222</v>
      </c>
      <c r="H47" s="951">
        <f>F47*(1-'TDM Output'!$N$2)</f>
        <v>16378.621132222219</v>
      </c>
      <c r="I47" s="951">
        <f>G47*(1-'TDM Output'!$N$2)</f>
        <v>1944.0689255555553</v>
      </c>
      <c r="J47" s="1158">
        <f t="shared" si="22"/>
        <v>11.869154938125536</v>
      </c>
      <c r="K47" s="1158">
        <f t="shared" si="15"/>
        <v>8.65146723734542</v>
      </c>
      <c r="L47" s="1158">
        <f t="shared" si="16"/>
        <v>15.42144186736885</v>
      </c>
      <c r="M47" s="1158">
        <f t="shared" si="17"/>
        <v>11.471232818002786</v>
      </c>
      <c r="N47" s="903">
        <f t="shared" si="18"/>
        <v>0</v>
      </c>
      <c r="O47" s="903">
        <f t="shared" si="19"/>
        <v>0</v>
      </c>
      <c r="P47" s="903">
        <f t="shared" si="20"/>
        <v>-7019.4090566666673</v>
      </c>
      <c r="Q47" s="903">
        <f t="shared" si="21"/>
        <v>-833.17239666666683</v>
      </c>
    </row>
    <row r="48" spans="1:17" x14ac:dyDescent="0.25">
      <c r="A48" s="950">
        <f t="shared" si="9"/>
        <v>2057</v>
      </c>
      <c r="B48" s="1087">
        <f>B47*'Rates - Single'!$C$212</f>
        <v>361690.66000000003</v>
      </c>
      <c r="C48" s="1087">
        <f>C47*'Rates - Single'!$C$212</f>
        <v>29323.9</v>
      </c>
      <c r="D48" s="1087">
        <f>D47*'Rates - Single'!$C$212</f>
        <v>361690.66000000003</v>
      </c>
      <c r="E48" s="1087">
        <f>E47*'Rates - Single'!$C$212</f>
        <v>29323.9</v>
      </c>
      <c r="F48" s="1087">
        <f>F47*'Rates - Single'!$C$212</f>
        <v>23398.030188888886</v>
      </c>
      <c r="G48" s="1087">
        <f>G47*'Rates - Single'!$C$212</f>
        <v>2777.2413222222222</v>
      </c>
      <c r="H48" s="951">
        <f>F48*(1-'TDM Output'!$N$2)</f>
        <v>16378.621132222219</v>
      </c>
      <c r="I48" s="951">
        <f>G48*(1-'TDM Output'!$N$2)</f>
        <v>1944.0689255555553</v>
      </c>
      <c r="J48" s="1158">
        <f t="shared" si="22"/>
        <v>11.869154938125536</v>
      </c>
      <c r="K48" s="1158">
        <f t="shared" si="15"/>
        <v>8.65146723734542</v>
      </c>
      <c r="L48" s="1158">
        <f t="shared" si="16"/>
        <v>15.42144186736885</v>
      </c>
      <c r="M48" s="1158">
        <f t="shared" si="17"/>
        <v>11.471232818002786</v>
      </c>
      <c r="N48" s="903">
        <f t="shared" si="18"/>
        <v>0</v>
      </c>
      <c r="O48" s="903">
        <f t="shared" si="19"/>
        <v>0</v>
      </c>
      <c r="P48" s="903">
        <f t="shared" si="20"/>
        <v>-7019.4090566666673</v>
      </c>
      <c r="Q48" s="903">
        <f t="shared" si="21"/>
        <v>-833.17239666666683</v>
      </c>
    </row>
    <row r="49" spans="1:17" x14ac:dyDescent="0.25">
      <c r="A49" s="950">
        <f t="shared" si="9"/>
        <v>2058</v>
      </c>
      <c r="B49" s="1087">
        <f>B48*'Rates - Single'!$C$212</f>
        <v>361690.66000000003</v>
      </c>
      <c r="C49" s="1087">
        <f>C48*'Rates - Single'!$C$212</f>
        <v>29323.9</v>
      </c>
      <c r="D49" s="1087">
        <f>D48*'Rates - Single'!$C$212</f>
        <v>361690.66000000003</v>
      </c>
      <c r="E49" s="1087">
        <f>E48*'Rates - Single'!$C$212</f>
        <v>29323.9</v>
      </c>
      <c r="F49" s="1087">
        <f>F48*'Rates - Single'!$C$212</f>
        <v>23398.030188888886</v>
      </c>
      <c r="G49" s="1087">
        <f>G48*'Rates - Single'!$C$212</f>
        <v>2777.2413222222222</v>
      </c>
      <c r="H49" s="951">
        <f>F49*(1-'TDM Output'!$N$2)</f>
        <v>16378.621132222219</v>
      </c>
      <c r="I49" s="951">
        <f>G49*(1-'TDM Output'!$N$2)</f>
        <v>1944.0689255555553</v>
      </c>
      <c r="J49" s="1158">
        <f t="shared" si="22"/>
        <v>11.869154938125536</v>
      </c>
      <c r="K49" s="1158">
        <f t="shared" si="15"/>
        <v>8.65146723734542</v>
      </c>
      <c r="L49" s="1158">
        <f t="shared" si="16"/>
        <v>15.42144186736885</v>
      </c>
      <c r="M49" s="1158">
        <f t="shared" si="17"/>
        <v>11.471232818002786</v>
      </c>
      <c r="N49" s="903">
        <f t="shared" si="18"/>
        <v>0</v>
      </c>
      <c r="O49" s="903">
        <f t="shared" si="19"/>
        <v>0</v>
      </c>
      <c r="P49" s="903">
        <f t="shared" si="20"/>
        <v>-7019.4090566666673</v>
      </c>
      <c r="Q49" s="903">
        <f t="shared" si="21"/>
        <v>-833.17239666666683</v>
      </c>
    </row>
    <row r="50" spans="1:17" x14ac:dyDescent="0.25">
      <c r="A50" s="950">
        <f t="shared" si="9"/>
        <v>2059</v>
      </c>
      <c r="B50" s="1087">
        <f>B49*'Rates - Single'!$C$212</f>
        <v>361690.66000000003</v>
      </c>
      <c r="C50" s="1087">
        <f>C49*'Rates - Single'!$C$212</f>
        <v>29323.9</v>
      </c>
      <c r="D50" s="1087">
        <f>D49*'Rates - Single'!$C$212</f>
        <v>361690.66000000003</v>
      </c>
      <c r="E50" s="1087">
        <f>E49*'Rates - Single'!$C$212</f>
        <v>29323.9</v>
      </c>
      <c r="F50" s="1087">
        <f>F49*'Rates - Single'!$C$212</f>
        <v>23398.030188888886</v>
      </c>
      <c r="G50" s="1087">
        <f>G49*'Rates - Single'!$C$212</f>
        <v>2777.2413222222222</v>
      </c>
      <c r="H50" s="951">
        <f>F50*(1-'TDM Output'!$N$2)</f>
        <v>16378.621132222219</v>
      </c>
      <c r="I50" s="951">
        <f>G50*(1-'TDM Output'!$N$2)</f>
        <v>1944.0689255555553</v>
      </c>
      <c r="J50" s="1158">
        <f t="shared" si="22"/>
        <v>11.869154938125536</v>
      </c>
      <c r="K50" s="1158">
        <f t="shared" si="15"/>
        <v>8.65146723734542</v>
      </c>
      <c r="L50" s="1158">
        <f t="shared" si="16"/>
        <v>15.42144186736885</v>
      </c>
      <c r="M50" s="1158">
        <f t="shared" si="17"/>
        <v>11.471232818002786</v>
      </c>
      <c r="N50" s="903">
        <f t="shared" si="18"/>
        <v>0</v>
      </c>
      <c r="O50" s="903">
        <f t="shared" si="19"/>
        <v>0</v>
      </c>
      <c r="P50" s="903">
        <f t="shared" si="20"/>
        <v>-7019.4090566666673</v>
      </c>
      <c r="Q50" s="903">
        <f t="shared" si="21"/>
        <v>-833.17239666666683</v>
      </c>
    </row>
    <row r="51" spans="1:17" x14ac:dyDescent="0.25">
      <c r="A51" s="950">
        <f t="shared" si="9"/>
        <v>2060</v>
      </c>
      <c r="B51" s="1087">
        <f>B50*'Rates - Single'!$C$212</f>
        <v>361690.66000000003</v>
      </c>
      <c r="C51" s="1087">
        <f>C50*'Rates - Single'!$C$212</f>
        <v>29323.9</v>
      </c>
      <c r="D51" s="1087">
        <f>D50*'Rates - Single'!$C$212</f>
        <v>361690.66000000003</v>
      </c>
      <c r="E51" s="1087">
        <f>E50*'Rates - Single'!$C$212</f>
        <v>29323.9</v>
      </c>
      <c r="F51" s="1087">
        <f>F50*'Rates - Single'!$C$212</f>
        <v>23398.030188888886</v>
      </c>
      <c r="G51" s="1087">
        <f>G50*'Rates - Single'!$C$212</f>
        <v>2777.2413222222222</v>
      </c>
      <c r="H51" s="951">
        <f>F51*(1-'TDM Output'!$N$2)</f>
        <v>16378.621132222219</v>
      </c>
      <c r="I51" s="951">
        <f>G51*(1-'TDM Output'!$N$2)</f>
        <v>1944.0689255555553</v>
      </c>
      <c r="J51" s="1158">
        <f t="shared" si="22"/>
        <v>11.869154938125536</v>
      </c>
      <c r="K51" s="1158">
        <f t="shared" si="15"/>
        <v>8.65146723734542</v>
      </c>
      <c r="L51" s="1158">
        <f t="shared" si="16"/>
        <v>15.42144186736885</v>
      </c>
      <c r="M51" s="1158">
        <f t="shared" si="17"/>
        <v>11.471232818002786</v>
      </c>
      <c r="N51" s="903">
        <f t="shared" si="18"/>
        <v>0</v>
      </c>
      <c r="O51" s="903">
        <f t="shared" si="19"/>
        <v>0</v>
      </c>
      <c r="P51" s="903">
        <f t="shared" si="20"/>
        <v>-7019.4090566666673</v>
      </c>
      <c r="Q51" s="903">
        <f t="shared" si="21"/>
        <v>-833.17239666666683</v>
      </c>
    </row>
    <row r="52" spans="1:17" x14ac:dyDescent="0.25">
      <c r="A52" s="950">
        <f t="shared" si="9"/>
        <v>2061</v>
      </c>
      <c r="B52" s="1087">
        <f>B51*'Rates - Single'!$C$212</f>
        <v>361690.66000000003</v>
      </c>
      <c r="C52" s="1087">
        <f>C51*'Rates - Single'!$C$212</f>
        <v>29323.9</v>
      </c>
      <c r="D52" s="1087">
        <f>D51*'Rates - Single'!$C$212</f>
        <v>361690.66000000003</v>
      </c>
      <c r="E52" s="1087">
        <f>E51*'Rates - Single'!$C$212</f>
        <v>29323.9</v>
      </c>
      <c r="F52" s="1087">
        <f>F51*'Rates - Single'!$C$212</f>
        <v>23398.030188888886</v>
      </c>
      <c r="G52" s="1087">
        <f>G51*'Rates - Single'!$C$212</f>
        <v>2777.2413222222222</v>
      </c>
      <c r="H52" s="951">
        <f>F52*(1-'TDM Output'!$N$2)</f>
        <v>16378.621132222219</v>
      </c>
      <c r="I52" s="951">
        <f>G52*(1-'TDM Output'!$N$2)</f>
        <v>1944.0689255555553</v>
      </c>
      <c r="J52" s="1158">
        <f t="shared" si="22"/>
        <v>11.869154938125536</v>
      </c>
      <c r="K52" s="1158">
        <f t="shared" si="15"/>
        <v>8.65146723734542</v>
      </c>
      <c r="L52" s="1158">
        <f t="shared" si="16"/>
        <v>15.42144186736885</v>
      </c>
      <c r="M52" s="1158">
        <f t="shared" si="17"/>
        <v>11.471232818002786</v>
      </c>
      <c r="N52" s="903">
        <f t="shared" si="18"/>
        <v>0</v>
      </c>
      <c r="O52" s="903">
        <f t="shared" si="19"/>
        <v>0</v>
      </c>
      <c r="P52" s="903">
        <f t="shared" si="20"/>
        <v>-7019.4090566666673</v>
      </c>
      <c r="Q52" s="903">
        <f t="shared" si="21"/>
        <v>-833.17239666666683</v>
      </c>
    </row>
    <row r="53" spans="1:17" x14ac:dyDescent="0.25">
      <c r="B53" s="1087"/>
      <c r="C53" s="1087"/>
      <c r="D53" s="1087"/>
      <c r="E53" s="1087"/>
      <c r="F53" s="1087"/>
      <c r="G53" s="1087"/>
      <c r="H53" s="1087"/>
      <c r="I53" s="1087"/>
      <c r="J53" s="1157"/>
      <c r="K53" s="1157"/>
      <c r="L53" s="1157"/>
      <c r="M53" s="1157"/>
      <c r="N53" s="1087"/>
      <c r="O53" s="1087"/>
      <c r="P53" s="1087"/>
      <c r="Q53" s="1087"/>
    </row>
    <row r="54" spans="1:17" x14ac:dyDescent="0.25">
      <c r="B54" s="1087"/>
      <c r="C54" s="1087"/>
      <c r="D54" s="1087"/>
      <c r="E54" s="1087"/>
      <c r="F54" s="1087"/>
      <c r="G54" s="1087"/>
      <c r="H54" s="1087"/>
      <c r="I54" s="1087"/>
      <c r="J54" s="1157"/>
      <c r="K54" s="1157" t="s">
        <v>475</v>
      </c>
      <c r="L54" s="1157"/>
      <c r="M54" s="1157"/>
      <c r="N54" s="1087"/>
      <c r="O54" s="1087"/>
      <c r="P54" s="1087"/>
      <c r="Q54" s="1087"/>
    </row>
    <row r="55" spans="1:17" x14ac:dyDescent="0.25">
      <c r="B55" s="1087"/>
      <c r="C55" s="1087"/>
      <c r="D55" s="1087"/>
      <c r="E55" s="1087"/>
      <c r="F55" s="1087"/>
      <c r="G55" s="1087"/>
      <c r="H55" s="1087"/>
      <c r="I55" s="1087"/>
      <c r="J55" s="1157"/>
      <c r="K55" s="1157"/>
      <c r="L55" s="1157"/>
      <c r="M55" s="1157"/>
      <c r="N55" s="1087"/>
      <c r="O55" s="1087"/>
      <c r="P55" s="1087"/>
      <c r="Q55" s="1087"/>
    </row>
    <row r="56" spans="1:17" x14ac:dyDescent="0.25">
      <c r="B56" s="1087"/>
      <c r="C56" s="1087"/>
      <c r="D56" s="1087"/>
      <c r="E56" s="1087"/>
      <c r="F56" s="1087"/>
      <c r="G56" s="1087"/>
      <c r="H56" s="1087"/>
      <c r="I56" s="1087"/>
      <c r="J56" s="1157"/>
      <c r="K56" s="1157"/>
      <c r="L56" s="1157"/>
      <c r="M56" s="1157"/>
      <c r="N56" s="1087"/>
      <c r="O56" s="1087"/>
      <c r="P56" s="1087"/>
      <c r="Q56" s="1087"/>
    </row>
    <row r="57" spans="1:17" x14ac:dyDescent="0.25">
      <c r="B57" s="1087"/>
      <c r="C57" s="1087"/>
      <c r="D57" s="1087"/>
      <c r="E57" s="1087"/>
      <c r="F57" s="1087"/>
      <c r="G57" s="1087" t="s">
        <v>475</v>
      </c>
      <c r="H57" s="1087"/>
      <c r="I57" s="1087"/>
      <c r="J57" s="1157"/>
      <c r="K57" s="1157"/>
      <c r="L57" s="1157"/>
      <c r="M57" s="1157"/>
      <c r="N57" s="1087"/>
      <c r="O57" s="1087"/>
      <c r="P57" s="1087"/>
      <c r="Q57" s="1087"/>
    </row>
    <row r="58" spans="1:17" x14ac:dyDescent="0.25">
      <c r="B58" s="1087"/>
      <c r="C58" s="1087"/>
      <c r="D58" s="1087"/>
      <c r="E58" s="1087"/>
      <c r="F58" s="1087"/>
      <c r="G58" s="1087"/>
      <c r="H58" s="1087"/>
      <c r="I58" s="1087"/>
      <c r="J58" s="1157"/>
      <c r="K58" s="1157"/>
      <c r="L58" s="1157"/>
      <c r="M58" s="1157"/>
      <c r="N58" s="1087"/>
      <c r="O58" s="1087"/>
      <c r="P58" s="1087"/>
      <c r="Q58" s="1087"/>
    </row>
    <row r="59" spans="1:17" x14ac:dyDescent="0.25">
      <c r="B59" s="1087"/>
      <c r="C59" s="1087"/>
      <c r="D59" s="1087"/>
      <c r="E59" s="1087"/>
      <c r="F59" s="1087"/>
      <c r="G59" s="1087"/>
      <c r="H59" s="1087"/>
      <c r="I59" s="1087"/>
      <c r="J59" s="1157"/>
      <c r="K59" s="1157"/>
      <c r="L59" s="1157"/>
      <c r="M59" s="1157"/>
      <c r="N59" s="1087"/>
      <c r="O59" s="1087"/>
      <c r="P59" s="1087"/>
      <c r="Q59" s="1087"/>
    </row>
    <row r="60" spans="1:17" x14ac:dyDescent="0.25">
      <c r="B60" s="1087"/>
      <c r="C60" s="1087"/>
      <c r="D60" s="1087"/>
      <c r="E60" s="1087"/>
      <c r="F60" s="1087"/>
      <c r="G60" s="1087"/>
      <c r="H60" s="1087"/>
      <c r="I60" s="1087" t="s">
        <v>475</v>
      </c>
      <c r="J60" s="1157"/>
      <c r="K60" s="1157"/>
      <c r="L60" s="1157"/>
      <c r="M60" s="1157"/>
      <c r="N60" s="1087"/>
      <c r="O60" s="1087"/>
      <c r="P60" s="1087"/>
      <c r="Q60" s="1087"/>
    </row>
    <row r="61" spans="1:17" x14ac:dyDescent="0.25">
      <c r="B61" s="1087"/>
      <c r="C61" s="1087"/>
      <c r="D61" s="1087"/>
      <c r="E61" s="1087"/>
      <c r="F61" s="1087"/>
      <c r="G61" s="1087"/>
      <c r="H61" s="1087"/>
      <c r="I61" s="1087"/>
      <c r="J61" s="1157"/>
      <c r="K61" s="1157"/>
      <c r="L61" s="1157"/>
      <c r="M61" s="1157"/>
      <c r="N61" s="1087"/>
      <c r="O61" s="1087"/>
      <c r="P61" s="1087"/>
      <c r="Q61" s="1087"/>
    </row>
    <row r="62" spans="1:17" x14ac:dyDescent="0.25">
      <c r="B62" s="1087"/>
      <c r="C62" s="1087"/>
      <c r="D62" s="1087"/>
      <c r="E62" s="1087"/>
      <c r="F62" s="1087"/>
      <c r="G62" s="1087"/>
      <c r="H62" s="1087"/>
      <c r="I62" s="1087"/>
      <c r="J62" s="1157"/>
      <c r="K62" s="1157"/>
      <c r="L62" s="1157"/>
      <c r="M62" s="1157"/>
      <c r="N62" s="1087"/>
      <c r="O62" s="1087"/>
      <c r="P62" s="1087"/>
      <c r="Q62" s="1087"/>
    </row>
    <row r="63" spans="1:17" x14ac:dyDescent="0.25">
      <c r="B63" s="1087"/>
      <c r="C63" s="1087"/>
      <c r="D63" s="1087"/>
      <c r="E63" s="1087"/>
      <c r="F63" s="1087"/>
      <c r="G63" s="1087"/>
      <c r="H63" s="1087"/>
      <c r="I63" s="1087"/>
      <c r="J63" s="1157"/>
      <c r="K63" s="1157"/>
      <c r="L63" s="1157"/>
      <c r="M63" s="1157"/>
      <c r="N63" s="1087"/>
      <c r="O63" s="1087"/>
      <c r="P63" s="1087"/>
      <c r="Q63" s="1087"/>
    </row>
    <row r="64" spans="1:17" x14ac:dyDescent="0.25">
      <c r="B64" s="1087"/>
      <c r="C64" s="1087"/>
      <c r="D64" s="1087"/>
      <c r="E64" s="1087"/>
      <c r="F64" s="1087"/>
      <c r="G64" s="1087"/>
      <c r="H64" s="1087"/>
      <c r="I64" s="1087"/>
      <c r="J64" s="1157"/>
      <c r="K64" s="1157"/>
      <c r="L64" s="1157"/>
      <c r="M64" s="1157"/>
      <c r="N64" s="1087"/>
      <c r="O64" s="1087"/>
      <c r="P64" s="1087"/>
      <c r="Q64" s="1087"/>
    </row>
    <row r="65" spans="2:17" x14ac:dyDescent="0.25">
      <c r="B65" s="1087"/>
      <c r="C65" s="1087"/>
      <c r="D65" s="1087"/>
      <c r="E65" s="1087"/>
      <c r="F65" s="1087"/>
      <c r="G65" s="1087"/>
      <c r="H65" s="1087"/>
      <c r="I65" s="1087"/>
      <c r="J65" s="1157"/>
      <c r="K65" s="1157"/>
      <c r="L65" s="1157"/>
      <c r="M65" s="1157"/>
      <c r="N65" s="1087"/>
      <c r="O65" s="1087"/>
      <c r="P65" s="1087"/>
      <c r="Q65" s="1087"/>
    </row>
    <row r="66" spans="2:17" x14ac:dyDescent="0.25">
      <c r="B66" s="1087"/>
      <c r="C66" s="1087"/>
      <c r="D66" s="1087"/>
      <c r="E66" s="1087"/>
      <c r="F66" s="1087"/>
      <c r="G66" s="1087"/>
      <c r="H66" s="1087"/>
      <c r="I66" s="1087"/>
      <c r="J66" s="1157"/>
      <c r="K66" s="1157"/>
      <c r="L66" s="1157"/>
      <c r="M66" s="1157"/>
      <c r="N66" s="1087"/>
      <c r="O66" s="1087"/>
      <c r="P66" s="1087"/>
      <c r="Q66" s="1087"/>
    </row>
    <row r="67" spans="2:17" x14ac:dyDescent="0.25">
      <c r="B67" s="1087"/>
      <c r="C67" s="1087"/>
      <c r="D67" s="1087"/>
      <c r="E67" s="1087"/>
      <c r="F67" s="1087"/>
      <c r="G67" s="1087"/>
      <c r="H67" s="1087"/>
      <c r="I67" s="1087"/>
      <c r="J67" s="1157"/>
      <c r="K67" s="1157"/>
      <c r="L67" s="1157"/>
      <c r="M67" s="1157"/>
      <c r="N67" s="1087"/>
      <c r="O67" s="1087"/>
      <c r="P67" s="1087"/>
      <c r="Q67" s="1087"/>
    </row>
    <row r="68" spans="2:17" x14ac:dyDescent="0.25">
      <c r="B68" s="1087"/>
      <c r="C68" s="1087"/>
      <c r="D68" s="1087"/>
      <c r="E68" s="1087"/>
      <c r="F68" s="1087"/>
      <c r="G68" s="1087"/>
      <c r="H68" s="1087"/>
      <c r="I68" s="1087"/>
      <c r="J68" s="1157"/>
      <c r="K68" s="1157"/>
      <c r="L68" s="1157"/>
      <c r="M68" s="1157"/>
      <c r="N68" s="1087"/>
      <c r="O68" s="1087"/>
      <c r="P68" s="1087"/>
      <c r="Q68" s="1087"/>
    </row>
  </sheetData>
  <mergeCells count="7">
    <mergeCell ref="B1:C1"/>
    <mergeCell ref="D1:E1"/>
    <mergeCell ref="F1:G1"/>
    <mergeCell ref="H1:I1"/>
    <mergeCell ref="N1:Q1"/>
    <mergeCell ref="J1:K1"/>
    <mergeCell ref="L1:M1"/>
  </mergeCells>
  <pageMargins left="0.7" right="0.7" top="0.75" bottom="0.75" header="0.3" footer="0.3"/>
  <pageSetup orientation="portrait" r:id="rId1"/>
  <ignoredErrors>
    <ignoredError sqref="F9:F30 H31:I31 K3:L3 J31:M31" formula="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1"/>
  </sheetPr>
  <dimension ref="B2:BR78"/>
  <sheetViews>
    <sheetView showGridLines="0" zoomScale="77" zoomScaleNormal="77" workbookViewId="0">
      <selection activeCell="E19" sqref="E19"/>
    </sheetView>
  </sheetViews>
  <sheetFormatPr defaultRowHeight="12.75" x14ac:dyDescent="0.25"/>
  <cols>
    <col min="1" max="1" width="3.5703125" style="534" customWidth="1"/>
    <col min="2" max="2" width="41.5703125" style="534" customWidth="1"/>
    <col min="3" max="3" width="17.7109375" style="534" customWidth="1"/>
    <col min="4" max="4" width="11.85546875" style="534" customWidth="1"/>
    <col min="5" max="5" width="12.28515625" style="534" customWidth="1"/>
    <col min="6" max="7" width="12.7109375" style="534" customWidth="1"/>
    <col min="8" max="8" width="16.140625" style="534" customWidth="1"/>
    <col min="9" max="9" width="12.140625" style="534" hidden="1" customWidth="1"/>
    <col min="10" max="10" width="15.28515625" style="534" customWidth="1"/>
    <col min="11" max="11" width="12.7109375" style="534" customWidth="1"/>
    <col min="12" max="13" width="15.85546875" style="534" customWidth="1"/>
    <col min="14" max="14" width="15.7109375" style="534" customWidth="1"/>
    <col min="15" max="17" width="12.7109375" style="534" customWidth="1"/>
    <col min="18" max="18" width="15.42578125" style="534" customWidth="1"/>
    <col min="19" max="25" width="12.7109375" style="534" customWidth="1"/>
    <col min="26" max="26" width="2.7109375" style="534" customWidth="1"/>
    <col min="27" max="47" width="15.7109375" style="534" customWidth="1"/>
    <col min="48" max="48" width="4.140625" style="534" customWidth="1"/>
    <col min="49" max="69" width="15.7109375" style="534" customWidth="1"/>
    <col min="70" max="16384" width="9.140625" style="534"/>
  </cols>
  <sheetData>
    <row r="2" spans="2:69" ht="18" x14ac:dyDescent="0.25">
      <c r="B2" s="533" t="str">
        <f>'About the Spreadsheet Tabs'!$B$3</f>
        <v>Benefit-Cost Assessment Spreadsheet for Access I-95: Driving Baltimore's City Development</v>
      </c>
    </row>
    <row r="3" spans="2:69" s="391" customFormat="1" ht="15.75" x14ac:dyDescent="0.25">
      <c r="B3" s="535"/>
    </row>
    <row r="4" spans="2:69" s="391" customFormat="1" ht="18" x14ac:dyDescent="0.25">
      <c r="B4" s="533" t="s">
        <v>366</v>
      </c>
    </row>
    <row r="5" spans="2:69" s="391" customFormat="1" ht="18" x14ac:dyDescent="0.25">
      <c r="B5" s="526"/>
    </row>
    <row r="6" spans="2:69" s="391" customFormat="1" ht="15.75" customHeight="1" x14ac:dyDescent="0.25">
      <c r="B6" s="527"/>
      <c r="F6" s="1314" t="s">
        <v>112</v>
      </c>
      <c r="G6" s="1315"/>
      <c r="H6" s="1316"/>
      <c r="J6" s="1310" t="s">
        <v>356</v>
      </c>
      <c r="K6" s="1310"/>
      <c r="L6" s="1310"/>
    </row>
    <row r="7" spans="2:69" s="391" customFormat="1" ht="24.75" customHeight="1" x14ac:dyDescent="0.25">
      <c r="F7" s="523" t="s">
        <v>346</v>
      </c>
      <c r="G7" s="523" t="s">
        <v>347</v>
      </c>
      <c r="H7" s="523" t="s">
        <v>348</v>
      </c>
      <c r="J7" s="523" t="s">
        <v>346</v>
      </c>
      <c r="K7" s="523" t="s">
        <v>347</v>
      </c>
      <c r="L7" s="523" t="s">
        <v>348</v>
      </c>
    </row>
    <row r="8" spans="2:69" s="391" customFormat="1" ht="30" customHeight="1" x14ac:dyDescent="0.25">
      <c r="F8" s="524" t="s">
        <v>340</v>
      </c>
      <c r="G8" s="524" t="s">
        <v>341</v>
      </c>
      <c r="H8" s="524" t="s">
        <v>342</v>
      </c>
      <c r="J8" s="740" t="s">
        <v>340</v>
      </c>
      <c r="K8" s="524" t="s">
        <v>341</v>
      </c>
      <c r="L8" s="524" t="s">
        <v>342</v>
      </c>
    </row>
    <row r="9" spans="2:69" s="391" customFormat="1" x14ac:dyDescent="0.25">
      <c r="E9" s="383" t="s">
        <v>343</v>
      </c>
      <c r="F9" s="880">
        <v>1</v>
      </c>
      <c r="G9" s="531">
        <v>2</v>
      </c>
      <c r="H9" s="531">
        <v>2</v>
      </c>
      <c r="J9" s="532">
        <f>'Rates - Single'!E27</f>
        <v>13.6</v>
      </c>
      <c r="K9" s="532">
        <f>'Rates - Single'!E31</f>
        <v>19</v>
      </c>
      <c r="L9" s="532">
        <f>'Rates - Single'!E31</f>
        <v>19</v>
      </c>
    </row>
    <row r="10" spans="2:69" s="391" customFormat="1" x14ac:dyDescent="0.25">
      <c r="E10" s="525" t="s">
        <v>344</v>
      </c>
      <c r="F10" s="531">
        <v>1</v>
      </c>
      <c r="G10" s="880">
        <v>1</v>
      </c>
      <c r="H10" s="531">
        <v>1</v>
      </c>
      <c r="J10" s="532">
        <f>'Rates - Single'!E28</f>
        <v>25.4</v>
      </c>
      <c r="K10" s="532">
        <f>'Rates - Single'!E32</f>
        <v>25.4</v>
      </c>
      <c r="L10" s="532">
        <f>'Rates - Single'!E32</f>
        <v>25.4</v>
      </c>
    </row>
    <row r="11" spans="2:69" s="391" customFormat="1" x14ac:dyDescent="0.25">
      <c r="E11" s="383" t="s">
        <v>345</v>
      </c>
      <c r="F11" s="531">
        <v>1</v>
      </c>
      <c r="G11" s="880">
        <v>1</v>
      </c>
      <c r="H11" s="531">
        <v>1</v>
      </c>
      <c r="J11" s="532">
        <f>'Rates - Single'!E28</f>
        <v>25.4</v>
      </c>
      <c r="K11" s="532">
        <f>'Rates - Single'!E32</f>
        <v>25.4</v>
      </c>
      <c r="L11" s="532">
        <f>'Rates - Single'!E32</f>
        <v>25.4</v>
      </c>
    </row>
    <row r="12" spans="2:69" s="391" customFormat="1" x14ac:dyDescent="0.25">
      <c r="E12" s="525" t="s">
        <v>160</v>
      </c>
      <c r="F12" s="531">
        <v>1</v>
      </c>
      <c r="G12" s="531">
        <v>1</v>
      </c>
      <c r="H12" s="880">
        <v>1.3</v>
      </c>
      <c r="J12" s="532">
        <f>'Rates - Single'!E35</f>
        <v>27.2</v>
      </c>
      <c r="K12" s="532">
        <f>'Rates - Single'!E35</f>
        <v>27.2</v>
      </c>
      <c r="L12" s="532">
        <f>'Rates - Single'!E35</f>
        <v>27.2</v>
      </c>
    </row>
    <row r="13" spans="2:69" s="391" customFormat="1" x14ac:dyDescent="0.25">
      <c r="E13" s="391" t="s">
        <v>350</v>
      </c>
      <c r="J13" s="391" t="s">
        <v>367</v>
      </c>
    </row>
    <row r="14" spans="2:69" s="391" customFormat="1" x14ac:dyDescent="0.25"/>
    <row r="15" spans="2:69" s="391" customFormat="1" ht="13.5" thickBot="1" x14ac:dyDescent="0.3">
      <c r="B15" s="392"/>
      <c r="C15" s="392"/>
      <c r="D15" s="392"/>
      <c r="E15" s="392"/>
      <c r="F15" s="392"/>
      <c r="G15" s="392"/>
      <c r="H15" s="392"/>
    </row>
    <row r="16" spans="2:69" s="391" customFormat="1" ht="21" x14ac:dyDescent="0.25">
      <c r="B16" s="536"/>
      <c r="C16" s="537"/>
      <c r="D16" s="538"/>
      <c r="E16" s="1307" t="s">
        <v>353</v>
      </c>
      <c r="F16" s="1308"/>
      <c r="G16" s="1308"/>
      <c r="H16" s="1308"/>
      <c r="I16" s="1308"/>
      <c r="J16" s="1308"/>
      <c r="K16" s="1308"/>
      <c r="L16" s="1308"/>
      <c r="M16" s="1308"/>
      <c r="N16" s="1308"/>
      <c r="O16" s="1308"/>
      <c r="P16" s="1308"/>
      <c r="Q16" s="1308"/>
      <c r="R16" s="1308"/>
      <c r="S16" s="1308"/>
      <c r="T16" s="1308"/>
      <c r="U16" s="1308"/>
      <c r="V16" s="1308"/>
      <c r="W16" s="1308"/>
      <c r="X16" s="1308"/>
      <c r="Y16" s="1309"/>
      <c r="Z16" s="374"/>
      <c r="AA16" s="1307" t="s">
        <v>354</v>
      </c>
      <c r="AB16" s="1308"/>
      <c r="AC16" s="1308"/>
      <c r="AD16" s="1308"/>
      <c r="AE16" s="1308"/>
      <c r="AF16" s="1308"/>
      <c r="AG16" s="1308"/>
      <c r="AH16" s="1308"/>
      <c r="AI16" s="1308"/>
      <c r="AJ16" s="1308"/>
      <c r="AK16" s="1308"/>
      <c r="AL16" s="1308"/>
      <c r="AM16" s="1308"/>
      <c r="AN16" s="1308"/>
      <c r="AO16" s="1308"/>
      <c r="AP16" s="1308"/>
      <c r="AQ16" s="1308"/>
      <c r="AR16" s="1308"/>
      <c r="AS16" s="1308"/>
      <c r="AT16" s="1308"/>
      <c r="AU16" s="1309"/>
      <c r="AV16" s="259"/>
      <c r="AW16" s="1307" t="s">
        <v>355</v>
      </c>
      <c r="AX16" s="1308"/>
      <c r="AY16" s="1308"/>
      <c r="AZ16" s="1308"/>
      <c r="BA16" s="1308"/>
      <c r="BB16" s="1308"/>
      <c r="BC16" s="1308"/>
      <c r="BD16" s="1308"/>
      <c r="BE16" s="1308"/>
      <c r="BF16" s="1308"/>
      <c r="BG16" s="1308"/>
      <c r="BH16" s="1308"/>
      <c r="BI16" s="1308"/>
      <c r="BJ16" s="1308"/>
      <c r="BK16" s="1308"/>
      <c r="BL16" s="1308"/>
      <c r="BM16" s="1308"/>
      <c r="BN16" s="1308"/>
      <c r="BO16" s="1308"/>
      <c r="BP16" s="1308"/>
      <c r="BQ16" s="1309"/>
    </row>
    <row r="17" spans="2:70" s="391" customFormat="1" x14ac:dyDescent="0.25">
      <c r="B17" s="539"/>
      <c r="C17" s="392"/>
      <c r="D17" s="540"/>
      <c r="E17" s="541">
        <v>2025</v>
      </c>
      <c r="F17" s="541">
        <v>2026</v>
      </c>
      <c r="G17" s="541">
        <v>2027</v>
      </c>
      <c r="H17" s="541">
        <v>2028</v>
      </c>
      <c r="I17" s="541">
        <v>2029</v>
      </c>
      <c r="J17" s="541">
        <v>2030</v>
      </c>
      <c r="K17" s="541">
        <v>2031</v>
      </c>
      <c r="L17" s="541">
        <v>2032</v>
      </c>
      <c r="M17" s="541">
        <v>2033</v>
      </c>
      <c r="N17" s="541">
        <v>2034</v>
      </c>
      <c r="O17" s="541">
        <v>2035</v>
      </c>
      <c r="P17" s="541">
        <v>2036</v>
      </c>
      <c r="Q17" s="541">
        <v>2037</v>
      </c>
      <c r="R17" s="541">
        <v>2038</v>
      </c>
      <c r="S17" s="541">
        <v>2039</v>
      </c>
      <c r="T17" s="541">
        <v>2040</v>
      </c>
      <c r="U17" s="541">
        <v>2041</v>
      </c>
      <c r="V17" s="541">
        <v>2042</v>
      </c>
      <c r="W17" s="541">
        <v>2043</v>
      </c>
      <c r="X17" s="541">
        <v>2044</v>
      </c>
      <c r="Y17" s="541">
        <v>2045</v>
      </c>
      <c r="Z17" s="504"/>
      <c r="AA17" s="541">
        <v>2025</v>
      </c>
      <c r="AB17" s="541">
        <v>2026</v>
      </c>
      <c r="AC17" s="541">
        <v>2027</v>
      </c>
      <c r="AD17" s="541">
        <v>2028</v>
      </c>
      <c r="AE17" s="541">
        <v>2029</v>
      </c>
      <c r="AF17" s="541">
        <v>2030</v>
      </c>
      <c r="AG17" s="541">
        <v>2031</v>
      </c>
      <c r="AH17" s="541">
        <v>2032</v>
      </c>
      <c r="AI17" s="541">
        <v>2033</v>
      </c>
      <c r="AJ17" s="541">
        <v>2034</v>
      </c>
      <c r="AK17" s="541">
        <v>2035</v>
      </c>
      <c r="AL17" s="541">
        <v>2036</v>
      </c>
      <c r="AM17" s="541">
        <v>2037</v>
      </c>
      <c r="AN17" s="541">
        <v>2038</v>
      </c>
      <c r="AO17" s="541">
        <v>2039</v>
      </c>
      <c r="AP17" s="541">
        <v>2040</v>
      </c>
      <c r="AQ17" s="541">
        <v>2041</v>
      </c>
      <c r="AR17" s="541">
        <v>2042</v>
      </c>
      <c r="AS17" s="541">
        <v>2043</v>
      </c>
      <c r="AT17" s="541">
        <v>2044</v>
      </c>
      <c r="AU17" s="541">
        <v>2045</v>
      </c>
      <c r="AV17" s="439"/>
      <c r="AW17" s="541">
        <v>2025</v>
      </c>
      <c r="AX17" s="541">
        <v>2026</v>
      </c>
      <c r="AY17" s="541">
        <v>2027</v>
      </c>
      <c r="AZ17" s="541">
        <v>2028</v>
      </c>
      <c r="BA17" s="541">
        <v>2029</v>
      </c>
      <c r="BB17" s="541">
        <v>2030</v>
      </c>
      <c r="BC17" s="541">
        <v>2031</v>
      </c>
      <c r="BD17" s="541">
        <v>2032</v>
      </c>
      <c r="BE17" s="541">
        <v>2033</v>
      </c>
      <c r="BF17" s="541">
        <v>2034</v>
      </c>
      <c r="BG17" s="541">
        <v>2035</v>
      </c>
      <c r="BH17" s="541">
        <v>2036</v>
      </c>
      <c r="BI17" s="541">
        <v>2037</v>
      </c>
      <c r="BJ17" s="541">
        <v>2038</v>
      </c>
      <c r="BK17" s="541">
        <v>2039</v>
      </c>
      <c r="BL17" s="541">
        <v>2040</v>
      </c>
      <c r="BM17" s="541">
        <v>2041</v>
      </c>
      <c r="BN17" s="541">
        <v>2042</v>
      </c>
      <c r="BO17" s="541">
        <v>2043</v>
      </c>
      <c r="BP17" s="541">
        <v>2044</v>
      </c>
      <c r="BQ17" s="541">
        <v>2045</v>
      </c>
    </row>
    <row r="18" spans="2:70" s="398" customFormat="1" ht="23.25" x14ac:dyDescent="0.25">
      <c r="B18" s="648" t="s">
        <v>349</v>
      </c>
      <c r="C18" s="542"/>
      <c r="D18" s="543"/>
      <c r="E18" s="544"/>
      <c r="F18" s="545"/>
      <c r="G18" s="545"/>
      <c r="H18" s="545"/>
      <c r="I18" s="545"/>
      <c r="J18" s="545"/>
      <c r="K18" s="545"/>
      <c r="L18" s="545"/>
      <c r="M18" s="545"/>
      <c r="N18" s="545"/>
      <c r="O18" s="545"/>
      <c r="P18" s="545"/>
      <c r="Q18" s="545"/>
      <c r="R18" s="545"/>
      <c r="S18" s="545"/>
      <c r="T18" s="545"/>
      <c r="U18" s="545"/>
      <c r="V18" s="545"/>
      <c r="W18" s="545"/>
      <c r="X18" s="545"/>
      <c r="Y18" s="546"/>
      <c r="Z18" s="504"/>
      <c r="AA18" s="544"/>
      <c r="AB18" s="545"/>
      <c r="AC18" s="545"/>
      <c r="AD18" s="545"/>
      <c r="AE18" s="545"/>
      <c r="AF18" s="545"/>
      <c r="AG18" s="545"/>
      <c r="AH18" s="545"/>
      <c r="AI18" s="545"/>
      <c r="AJ18" s="545"/>
      <c r="AK18" s="545"/>
      <c r="AL18" s="545"/>
      <c r="AM18" s="545"/>
      <c r="AN18" s="545"/>
      <c r="AO18" s="545"/>
      <c r="AP18" s="545"/>
      <c r="AQ18" s="545"/>
      <c r="AR18" s="545"/>
      <c r="AS18" s="545"/>
      <c r="AT18" s="545"/>
      <c r="AU18" s="546"/>
      <c r="AV18" s="504"/>
      <c r="AW18" s="544"/>
      <c r="AX18" s="545"/>
      <c r="AY18" s="545"/>
      <c r="AZ18" s="545"/>
      <c r="BA18" s="545"/>
      <c r="BB18" s="545"/>
      <c r="BC18" s="545"/>
      <c r="BD18" s="545"/>
      <c r="BE18" s="545"/>
      <c r="BF18" s="545"/>
      <c r="BG18" s="545"/>
      <c r="BH18" s="545"/>
      <c r="BI18" s="545"/>
      <c r="BJ18" s="545"/>
      <c r="BK18" s="545"/>
      <c r="BL18" s="545"/>
      <c r="BM18" s="545"/>
      <c r="BN18" s="545"/>
      <c r="BO18" s="545"/>
      <c r="BP18" s="545"/>
      <c r="BQ18" s="546"/>
    </row>
    <row r="19" spans="2:70" s="391" customFormat="1" x14ac:dyDescent="0.25">
      <c r="B19" s="521" t="s">
        <v>363</v>
      </c>
      <c r="C19" s="392"/>
      <c r="D19" s="540"/>
      <c r="E19" s="547" t="e">
        <f>#REF!</f>
        <v>#REF!</v>
      </c>
      <c r="F19" s="548" t="e">
        <f>#REF!</f>
        <v>#REF!</v>
      </c>
      <c r="G19" s="548" t="e">
        <f>#REF!</f>
        <v>#REF!</v>
      </c>
      <c r="H19" s="548" t="e">
        <f>#REF!</f>
        <v>#REF!</v>
      </c>
      <c r="I19" s="548" t="e">
        <f>#REF!</f>
        <v>#REF!</v>
      </c>
      <c r="J19" s="548" t="e">
        <f>#REF!</f>
        <v>#REF!</v>
      </c>
      <c r="K19" s="548" t="e">
        <f>#REF!</f>
        <v>#REF!</v>
      </c>
      <c r="L19" s="548" t="e">
        <f>#REF!</f>
        <v>#REF!</v>
      </c>
      <c r="M19" s="548" t="e">
        <f>#REF!</f>
        <v>#REF!</v>
      </c>
      <c r="N19" s="548" t="e">
        <f>#REF!</f>
        <v>#REF!</v>
      </c>
      <c r="O19" s="548" t="e">
        <f>#REF!</f>
        <v>#REF!</v>
      </c>
      <c r="P19" s="548" t="e">
        <f>#REF!</f>
        <v>#REF!</v>
      </c>
      <c r="Q19" s="548" t="e">
        <f>#REF!</f>
        <v>#REF!</v>
      </c>
      <c r="R19" s="548" t="e">
        <f>#REF!</f>
        <v>#REF!</v>
      </c>
      <c r="S19" s="548" t="e">
        <f>#REF!</f>
        <v>#REF!</v>
      </c>
      <c r="T19" s="548" t="e">
        <f>#REF!</f>
        <v>#REF!</v>
      </c>
      <c r="U19" s="548" t="e">
        <f>#REF!</f>
        <v>#REF!</v>
      </c>
      <c r="V19" s="548" t="e">
        <f>#REF!</f>
        <v>#REF!</v>
      </c>
      <c r="W19" s="548" t="e">
        <f>#REF!</f>
        <v>#REF!</v>
      </c>
      <c r="X19" s="548" t="e">
        <f>#REF!</f>
        <v>#REF!</v>
      </c>
      <c r="Y19" s="549" t="e">
        <f>#REF!</f>
        <v>#REF!</v>
      </c>
      <c r="Z19" s="550"/>
      <c r="AA19" s="547" t="e">
        <f>#REF!</f>
        <v>#REF!</v>
      </c>
      <c r="AB19" s="548" t="e">
        <f>#REF!</f>
        <v>#REF!</v>
      </c>
      <c r="AC19" s="548" t="e">
        <f>#REF!</f>
        <v>#REF!</v>
      </c>
      <c r="AD19" s="548" t="e">
        <f>#REF!</f>
        <v>#REF!</v>
      </c>
      <c r="AE19" s="548" t="e">
        <f>#REF!</f>
        <v>#REF!</v>
      </c>
      <c r="AF19" s="548" t="e">
        <f>#REF!</f>
        <v>#REF!</v>
      </c>
      <c r="AG19" s="548" t="e">
        <f>#REF!</f>
        <v>#REF!</v>
      </c>
      <c r="AH19" s="548" t="e">
        <f>#REF!</f>
        <v>#REF!</v>
      </c>
      <c r="AI19" s="548" t="e">
        <f>#REF!</f>
        <v>#REF!</v>
      </c>
      <c r="AJ19" s="548" t="e">
        <f>#REF!</f>
        <v>#REF!</v>
      </c>
      <c r="AK19" s="548" t="e">
        <f>#REF!</f>
        <v>#REF!</v>
      </c>
      <c r="AL19" s="548" t="e">
        <f>#REF!</f>
        <v>#REF!</v>
      </c>
      <c r="AM19" s="548" t="e">
        <f>#REF!</f>
        <v>#REF!</v>
      </c>
      <c r="AN19" s="548" t="e">
        <f>#REF!</f>
        <v>#REF!</v>
      </c>
      <c r="AO19" s="548" t="e">
        <f>#REF!</f>
        <v>#REF!</v>
      </c>
      <c r="AP19" s="548" t="e">
        <f>#REF!</f>
        <v>#REF!</v>
      </c>
      <c r="AQ19" s="548" t="e">
        <f>#REF!</f>
        <v>#REF!</v>
      </c>
      <c r="AR19" s="548" t="e">
        <f>#REF!</f>
        <v>#REF!</v>
      </c>
      <c r="AS19" s="548" t="e">
        <f>#REF!</f>
        <v>#REF!</v>
      </c>
      <c r="AT19" s="548" t="e">
        <f>#REF!</f>
        <v>#REF!</v>
      </c>
      <c r="AU19" s="549" t="e">
        <f>#REF!</f>
        <v>#REF!</v>
      </c>
      <c r="AV19" s="548"/>
      <c r="AW19" s="547" t="e">
        <f>#REF!</f>
        <v>#REF!</v>
      </c>
      <c r="AX19" s="548" t="e">
        <f>#REF!</f>
        <v>#REF!</v>
      </c>
      <c r="AY19" s="548" t="e">
        <f>#REF!</f>
        <v>#REF!</v>
      </c>
      <c r="AZ19" s="548" t="e">
        <f>#REF!</f>
        <v>#REF!</v>
      </c>
      <c r="BA19" s="548" t="e">
        <f>#REF!</f>
        <v>#REF!</v>
      </c>
      <c r="BB19" s="548" t="e">
        <f>#REF!</f>
        <v>#REF!</v>
      </c>
      <c r="BC19" s="548" t="e">
        <f>#REF!</f>
        <v>#REF!</v>
      </c>
      <c r="BD19" s="548" t="e">
        <f>#REF!</f>
        <v>#REF!</v>
      </c>
      <c r="BE19" s="548" t="e">
        <f>#REF!</f>
        <v>#REF!</v>
      </c>
      <c r="BF19" s="548" t="e">
        <f>#REF!</f>
        <v>#REF!</v>
      </c>
      <c r="BG19" s="548" t="e">
        <f>#REF!</f>
        <v>#REF!</v>
      </c>
      <c r="BH19" s="548" t="e">
        <f>#REF!</f>
        <v>#REF!</v>
      </c>
      <c r="BI19" s="548" t="e">
        <f>#REF!</f>
        <v>#REF!</v>
      </c>
      <c r="BJ19" s="548" t="e">
        <f>#REF!</f>
        <v>#REF!</v>
      </c>
      <c r="BK19" s="548" t="e">
        <f>#REF!</f>
        <v>#REF!</v>
      </c>
      <c r="BL19" s="548" t="e">
        <f>#REF!</f>
        <v>#REF!</v>
      </c>
      <c r="BM19" s="548" t="e">
        <f>#REF!</f>
        <v>#REF!</v>
      </c>
      <c r="BN19" s="548" t="e">
        <f>#REF!</f>
        <v>#REF!</v>
      </c>
      <c r="BO19" s="548" t="e">
        <f>#REF!</f>
        <v>#REF!</v>
      </c>
      <c r="BP19" s="548" t="e">
        <f>#REF!</f>
        <v>#REF!</v>
      </c>
      <c r="BQ19" s="549" t="e">
        <f>#REF!</f>
        <v>#REF!</v>
      </c>
    </row>
    <row r="20" spans="2:70" s="391" customFormat="1" x14ac:dyDescent="0.25">
      <c r="B20" s="521" t="s">
        <v>357</v>
      </c>
      <c r="C20" s="392"/>
      <c r="D20" s="540"/>
      <c r="E20" s="547" t="e">
        <f t="shared" ref="E20:Y20" si="0">E19*$F$9*$J$9</f>
        <v>#REF!</v>
      </c>
      <c r="F20" s="548" t="e">
        <f t="shared" si="0"/>
        <v>#REF!</v>
      </c>
      <c r="G20" s="548" t="e">
        <f t="shared" si="0"/>
        <v>#REF!</v>
      </c>
      <c r="H20" s="548" t="e">
        <f t="shared" si="0"/>
        <v>#REF!</v>
      </c>
      <c r="I20" s="548" t="e">
        <f t="shared" si="0"/>
        <v>#REF!</v>
      </c>
      <c r="J20" s="548" t="e">
        <f t="shared" si="0"/>
        <v>#REF!</v>
      </c>
      <c r="K20" s="548" t="e">
        <f t="shared" si="0"/>
        <v>#REF!</v>
      </c>
      <c r="L20" s="548" t="e">
        <f t="shared" si="0"/>
        <v>#REF!</v>
      </c>
      <c r="M20" s="548" t="e">
        <f t="shared" si="0"/>
        <v>#REF!</v>
      </c>
      <c r="N20" s="548" t="e">
        <f t="shared" si="0"/>
        <v>#REF!</v>
      </c>
      <c r="O20" s="548" t="e">
        <f t="shared" si="0"/>
        <v>#REF!</v>
      </c>
      <c r="P20" s="548" t="e">
        <f t="shared" si="0"/>
        <v>#REF!</v>
      </c>
      <c r="Q20" s="548" t="e">
        <f t="shared" si="0"/>
        <v>#REF!</v>
      </c>
      <c r="R20" s="548" t="e">
        <f t="shared" si="0"/>
        <v>#REF!</v>
      </c>
      <c r="S20" s="548" t="e">
        <f t="shared" si="0"/>
        <v>#REF!</v>
      </c>
      <c r="T20" s="548" t="e">
        <f t="shared" si="0"/>
        <v>#REF!</v>
      </c>
      <c r="U20" s="548" t="e">
        <f t="shared" si="0"/>
        <v>#REF!</v>
      </c>
      <c r="V20" s="548" t="e">
        <f t="shared" si="0"/>
        <v>#REF!</v>
      </c>
      <c r="W20" s="548" t="e">
        <f t="shared" si="0"/>
        <v>#REF!</v>
      </c>
      <c r="X20" s="548" t="e">
        <f t="shared" si="0"/>
        <v>#REF!</v>
      </c>
      <c r="Y20" s="549" t="e">
        <f t="shared" si="0"/>
        <v>#REF!</v>
      </c>
      <c r="Z20" s="550"/>
      <c r="AA20" s="547" t="e">
        <f t="shared" ref="AA20:AU20" si="1">AA19*$G$9*$K$9</f>
        <v>#REF!</v>
      </c>
      <c r="AB20" s="548" t="e">
        <f t="shared" si="1"/>
        <v>#REF!</v>
      </c>
      <c r="AC20" s="548" t="e">
        <f t="shared" si="1"/>
        <v>#REF!</v>
      </c>
      <c r="AD20" s="548" t="e">
        <f t="shared" si="1"/>
        <v>#REF!</v>
      </c>
      <c r="AE20" s="548" t="e">
        <f t="shared" si="1"/>
        <v>#REF!</v>
      </c>
      <c r="AF20" s="548" t="e">
        <f t="shared" si="1"/>
        <v>#REF!</v>
      </c>
      <c r="AG20" s="548" t="e">
        <f t="shared" si="1"/>
        <v>#REF!</v>
      </c>
      <c r="AH20" s="548" t="e">
        <f t="shared" si="1"/>
        <v>#REF!</v>
      </c>
      <c r="AI20" s="548" t="e">
        <f t="shared" si="1"/>
        <v>#REF!</v>
      </c>
      <c r="AJ20" s="548" t="e">
        <f t="shared" si="1"/>
        <v>#REF!</v>
      </c>
      <c r="AK20" s="548" t="e">
        <f t="shared" si="1"/>
        <v>#REF!</v>
      </c>
      <c r="AL20" s="548" t="e">
        <f t="shared" si="1"/>
        <v>#REF!</v>
      </c>
      <c r="AM20" s="548" t="e">
        <f t="shared" si="1"/>
        <v>#REF!</v>
      </c>
      <c r="AN20" s="548" t="e">
        <f t="shared" si="1"/>
        <v>#REF!</v>
      </c>
      <c r="AO20" s="548" t="e">
        <f t="shared" si="1"/>
        <v>#REF!</v>
      </c>
      <c r="AP20" s="548" t="e">
        <f t="shared" si="1"/>
        <v>#REF!</v>
      </c>
      <c r="AQ20" s="548" t="e">
        <f t="shared" si="1"/>
        <v>#REF!</v>
      </c>
      <c r="AR20" s="548" t="e">
        <f t="shared" si="1"/>
        <v>#REF!</v>
      </c>
      <c r="AS20" s="548" t="e">
        <f t="shared" si="1"/>
        <v>#REF!</v>
      </c>
      <c r="AT20" s="548" t="e">
        <f t="shared" si="1"/>
        <v>#REF!</v>
      </c>
      <c r="AU20" s="549" t="e">
        <f t="shared" si="1"/>
        <v>#REF!</v>
      </c>
      <c r="AV20" s="392"/>
      <c r="AW20" s="547" t="e">
        <f t="shared" ref="AW20:BQ20" si="2">AW19*$H$9*$L$9</f>
        <v>#REF!</v>
      </c>
      <c r="AX20" s="548" t="e">
        <f t="shared" si="2"/>
        <v>#REF!</v>
      </c>
      <c r="AY20" s="548" t="e">
        <f t="shared" si="2"/>
        <v>#REF!</v>
      </c>
      <c r="AZ20" s="548" t="e">
        <f t="shared" si="2"/>
        <v>#REF!</v>
      </c>
      <c r="BA20" s="548" t="e">
        <f t="shared" si="2"/>
        <v>#REF!</v>
      </c>
      <c r="BB20" s="548" t="e">
        <f t="shared" si="2"/>
        <v>#REF!</v>
      </c>
      <c r="BC20" s="548" t="e">
        <f t="shared" si="2"/>
        <v>#REF!</v>
      </c>
      <c r="BD20" s="548" t="e">
        <f t="shared" si="2"/>
        <v>#REF!</v>
      </c>
      <c r="BE20" s="548" t="e">
        <f t="shared" si="2"/>
        <v>#REF!</v>
      </c>
      <c r="BF20" s="548" t="e">
        <f t="shared" si="2"/>
        <v>#REF!</v>
      </c>
      <c r="BG20" s="548" t="e">
        <f t="shared" si="2"/>
        <v>#REF!</v>
      </c>
      <c r="BH20" s="548" t="e">
        <f t="shared" si="2"/>
        <v>#REF!</v>
      </c>
      <c r="BI20" s="548" t="e">
        <f t="shared" si="2"/>
        <v>#REF!</v>
      </c>
      <c r="BJ20" s="548" t="e">
        <f t="shared" si="2"/>
        <v>#REF!</v>
      </c>
      <c r="BK20" s="548" t="e">
        <f t="shared" si="2"/>
        <v>#REF!</v>
      </c>
      <c r="BL20" s="548" t="e">
        <f t="shared" si="2"/>
        <v>#REF!</v>
      </c>
      <c r="BM20" s="548" t="e">
        <f t="shared" si="2"/>
        <v>#REF!</v>
      </c>
      <c r="BN20" s="548" t="e">
        <f t="shared" si="2"/>
        <v>#REF!</v>
      </c>
      <c r="BO20" s="548" t="e">
        <f t="shared" si="2"/>
        <v>#REF!</v>
      </c>
      <c r="BP20" s="548" t="e">
        <f t="shared" si="2"/>
        <v>#REF!</v>
      </c>
      <c r="BQ20" s="549" t="e">
        <f t="shared" si="2"/>
        <v>#REF!</v>
      </c>
    </row>
    <row r="21" spans="2:70" s="391" customFormat="1" x14ac:dyDescent="0.25">
      <c r="B21" s="521"/>
      <c r="C21" s="392"/>
      <c r="D21" s="540"/>
      <c r="E21" s="547"/>
      <c r="F21" s="548"/>
      <c r="G21" s="548"/>
      <c r="H21" s="548"/>
      <c r="I21" s="548"/>
      <c r="J21" s="548"/>
      <c r="K21" s="548"/>
      <c r="L21" s="548"/>
      <c r="M21" s="548"/>
      <c r="N21" s="548"/>
      <c r="O21" s="548"/>
      <c r="P21" s="548"/>
      <c r="Q21" s="548"/>
      <c r="R21" s="548"/>
      <c r="S21" s="548"/>
      <c r="T21" s="548"/>
      <c r="U21" s="548"/>
      <c r="V21" s="548"/>
      <c r="W21" s="548"/>
      <c r="X21" s="548"/>
      <c r="Y21" s="549"/>
      <c r="Z21" s="550"/>
      <c r="AA21" s="547"/>
      <c r="AB21" s="548"/>
      <c r="AC21" s="548"/>
      <c r="AD21" s="548"/>
      <c r="AE21" s="548"/>
      <c r="AF21" s="548"/>
      <c r="AG21" s="548"/>
      <c r="AH21" s="548"/>
      <c r="AI21" s="548"/>
      <c r="AJ21" s="548"/>
      <c r="AK21" s="548"/>
      <c r="AL21" s="548"/>
      <c r="AM21" s="548"/>
      <c r="AN21" s="548"/>
      <c r="AO21" s="548"/>
      <c r="AP21" s="548"/>
      <c r="AQ21" s="548"/>
      <c r="AR21" s="548"/>
      <c r="AS21" s="548"/>
      <c r="AT21" s="548"/>
      <c r="AU21" s="549"/>
      <c r="AV21" s="392"/>
      <c r="AW21" s="547"/>
      <c r="AX21" s="548"/>
      <c r="AY21" s="548"/>
      <c r="AZ21" s="548"/>
      <c r="BA21" s="548"/>
      <c r="BB21" s="548"/>
      <c r="BC21" s="548"/>
      <c r="BD21" s="548"/>
      <c r="BE21" s="548"/>
      <c r="BF21" s="548"/>
      <c r="BG21" s="548"/>
      <c r="BH21" s="548"/>
      <c r="BI21" s="548"/>
      <c r="BJ21" s="548"/>
      <c r="BK21" s="548"/>
      <c r="BL21" s="548"/>
      <c r="BM21" s="548"/>
      <c r="BN21" s="548"/>
      <c r="BO21" s="548"/>
      <c r="BP21" s="548"/>
      <c r="BQ21" s="549"/>
    </row>
    <row r="22" spans="2:70" s="391" customFormat="1" ht="23.25" x14ac:dyDescent="0.25">
      <c r="B22" s="648" t="s">
        <v>351</v>
      </c>
      <c r="C22" s="392"/>
      <c r="D22" s="540"/>
      <c r="E22" s="547"/>
      <c r="F22" s="548"/>
      <c r="G22" s="548"/>
      <c r="H22" s="548"/>
      <c r="I22" s="548"/>
      <c r="J22" s="548"/>
      <c r="K22" s="548"/>
      <c r="L22" s="548"/>
      <c r="M22" s="548"/>
      <c r="N22" s="548"/>
      <c r="O22" s="548"/>
      <c r="P22" s="548"/>
      <c r="Q22" s="548"/>
      <c r="R22" s="548"/>
      <c r="S22" s="548"/>
      <c r="T22" s="548"/>
      <c r="U22" s="548"/>
      <c r="V22" s="548"/>
      <c r="W22" s="548"/>
      <c r="X22" s="548"/>
      <c r="Y22" s="549"/>
      <c r="Z22" s="550"/>
      <c r="AA22" s="547"/>
      <c r="AB22" s="548"/>
      <c r="AC22" s="548"/>
      <c r="AD22" s="548"/>
      <c r="AE22" s="548"/>
      <c r="AF22" s="548"/>
      <c r="AG22" s="548"/>
      <c r="AH22" s="548"/>
      <c r="AI22" s="548"/>
      <c r="AJ22" s="548"/>
      <c r="AK22" s="548"/>
      <c r="AL22" s="548"/>
      <c r="AM22" s="548"/>
      <c r="AN22" s="548"/>
      <c r="AO22" s="548"/>
      <c r="AP22" s="548"/>
      <c r="AQ22" s="548"/>
      <c r="AR22" s="548"/>
      <c r="AS22" s="548"/>
      <c r="AT22" s="548"/>
      <c r="AU22" s="549"/>
      <c r="AV22" s="392"/>
      <c r="AW22" s="547"/>
      <c r="AX22" s="548"/>
      <c r="AY22" s="548"/>
      <c r="AZ22" s="548"/>
      <c r="BA22" s="548"/>
      <c r="BB22" s="548"/>
      <c r="BC22" s="548"/>
      <c r="BD22" s="548"/>
      <c r="BE22" s="548"/>
      <c r="BF22" s="548"/>
      <c r="BG22" s="548"/>
      <c r="BH22" s="548"/>
      <c r="BI22" s="548"/>
      <c r="BJ22" s="548"/>
      <c r="BK22" s="548"/>
      <c r="BL22" s="548"/>
      <c r="BM22" s="548"/>
      <c r="BN22" s="548"/>
      <c r="BO22" s="548"/>
      <c r="BP22" s="548"/>
      <c r="BQ22" s="549"/>
    </row>
    <row r="23" spans="2:70" s="391" customFormat="1" x14ac:dyDescent="0.25">
      <c r="B23" s="521" t="s">
        <v>363</v>
      </c>
      <c r="C23" s="392"/>
      <c r="D23" s="540"/>
      <c r="E23" s="547" t="e">
        <f>#REF!</f>
        <v>#REF!</v>
      </c>
      <c r="F23" s="548" t="e">
        <f>#REF!</f>
        <v>#REF!</v>
      </c>
      <c r="G23" s="548" t="e">
        <f>#REF!</f>
        <v>#REF!</v>
      </c>
      <c r="H23" s="548" t="e">
        <f>#REF!</f>
        <v>#REF!</v>
      </c>
      <c r="I23" s="548" t="e">
        <f>#REF!</f>
        <v>#REF!</v>
      </c>
      <c r="J23" s="548" t="e">
        <f>#REF!</f>
        <v>#REF!</v>
      </c>
      <c r="K23" s="548" t="e">
        <f>#REF!</f>
        <v>#REF!</v>
      </c>
      <c r="L23" s="548" t="e">
        <f>#REF!</f>
        <v>#REF!</v>
      </c>
      <c r="M23" s="548" t="e">
        <f>#REF!</f>
        <v>#REF!</v>
      </c>
      <c r="N23" s="548" t="e">
        <f>#REF!</f>
        <v>#REF!</v>
      </c>
      <c r="O23" s="548" t="e">
        <f>#REF!</f>
        <v>#REF!</v>
      </c>
      <c r="P23" s="548" t="e">
        <f>#REF!</f>
        <v>#REF!</v>
      </c>
      <c r="Q23" s="548" t="e">
        <f>#REF!</f>
        <v>#REF!</v>
      </c>
      <c r="R23" s="548" t="e">
        <f>#REF!</f>
        <v>#REF!</v>
      </c>
      <c r="S23" s="548" t="e">
        <f>#REF!</f>
        <v>#REF!</v>
      </c>
      <c r="T23" s="548" t="e">
        <f>#REF!</f>
        <v>#REF!</v>
      </c>
      <c r="U23" s="548" t="e">
        <f>#REF!</f>
        <v>#REF!</v>
      </c>
      <c r="V23" s="548" t="e">
        <f>#REF!</f>
        <v>#REF!</v>
      </c>
      <c r="W23" s="548" t="e">
        <f>#REF!</f>
        <v>#REF!</v>
      </c>
      <c r="X23" s="548" t="e">
        <f>#REF!</f>
        <v>#REF!</v>
      </c>
      <c r="Y23" s="549" t="e">
        <f>#REF!</f>
        <v>#REF!</v>
      </c>
      <c r="Z23" s="550"/>
      <c r="AA23" s="547" t="e">
        <f>#REF!</f>
        <v>#REF!</v>
      </c>
      <c r="AB23" s="548" t="e">
        <f>#REF!</f>
        <v>#REF!</v>
      </c>
      <c r="AC23" s="548" t="e">
        <f>#REF!</f>
        <v>#REF!</v>
      </c>
      <c r="AD23" s="548" t="e">
        <f>#REF!</f>
        <v>#REF!</v>
      </c>
      <c r="AE23" s="548" t="e">
        <f>#REF!</f>
        <v>#REF!</v>
      </c>
      <c r="AF23" s="548" t="e">
        <f>#REF!</f>
        <v>#REF!</v>
      </c>
      <c r="AG23" s="548" t="e">
        <f>#REF!</f>
        <v>#REF!</v>
      </c>
      <c r="AH23" s="548" t="e">
        <f>#REF!</f>
        <v>#REF!</v>
      </c>
      <c r="AI23" s="548" t="e">
        <f>#REF!</f>
        <v>#REF!</v>
      </c>
      <c r="AJ23" s="548" t="e">
        <f>#REF!</f>
        <v>#REF!</v>
      </c>
      <c r="AK23" s="548" t="e">
        <f>#REF!</f>
        <v>#REF!</v>
      </c>
      <c r="AL23" s="548" t="e">
        <f>#REF!</f>
        <v>#REF!</v>
      </c>
      <c r="AM23" s="548" t="e">
        <f>#REF!</f>
        <v>#REF!</v>
      </c>
      <c r="AN23" s="548" t="e">
        <f>#REF!</f>
        <v>#REF!</v>
      </c>
      <c r="AO23" s="548" t="e">
        <f>#REF!</f>
        <v>#REF!</v>
      </c>
      <c r="AP23" s="548" t="e">
        <f>#REF!</f>
        <v>#REF!</v>
      </c>
      <c r="AQ23" s="548" t="e">
        <f>#REF!</f>
        <v>#REF!</v>
      </c>
      <c r="AR23" s="548" t="e">
        <f>#REF!</f>
        <v>#REF!</v>
      </c>
      <c r="AS23" s="548" t="e">
        <f>#REF!</f>
        <v>#REF!</v>
      </c>
      <c r="AT23" s="548" t="e">
        <f>#REF!</f>
        <v>#REF!</v>
      </c>
      <c r="AU23" s="549" t="e">
        <f>#REF!</f>
        <v>#REF!</v>
      </c>
      <c r="AV23" s="548"/>
      <c r="AW23" s="547" t="e">
        <f>#REF!</f>
        <v>#REF!</v>
      </c>
      <c r="AX23" s="548" t="e">
        <f>#REF!</f>
        <v>#REF!</v>
      </c>
      <c r="AY23" s="548" t="e">
        <f>#REF!</f>
        <v>#REF!</v>
      </c>
      <c r="AZ23" s="548" t="e">
        <f>#REF!</f>
        <v>#REF!</v>
      </c>
      <c r="BA23" s="548" t="e">
        <f>#REF!</f>
        <v>#REF!</v>
      </c>
      <c r="BB23" s="548" t="e">
        <f>#REF!</f>
        <v>#REF!</v>
      </c>
      <c r="BC23" s="548" t="e">
        <f>#REF!</f>
        <v>#REF!</v>
      </c>
      <c r="BD23" s="548" t="e">
        <f>#REF!</f>
        <v>#REF!</v>
      </c>
      <c r="BE23" s="548" t="e">
        <f>#REF!</f>
        <v>#REF!</v>
      </c>
      <c r="BF23" s="548" t="e">
        <f>#REF!</f>
        <v>#REF!</v>
      </c>
      <c r="BG23" s="548" t="e">
        <f>#REF!</f>
        <v>#REF!</v>
      </c>
      <c r="BH23" s="548" t="e">
        <f>#REF!</f>
        <v>#REF!</v>
      </c>
      <c r="BI23" s="548" t="e">
        <f>#REF!</f>
        <v>#REF!</v>
      </c>
      <c r="BJ23" s="548" t="e">
        <f>#REF!</f>
        <v>#REF!</v>
      </c>
      <c r="BK23" s="548" t="e">
        <f>#REF!</f>
        <v>#REF!</v>
      </c>
      <c r="BL23" s="548" t="e">
        <f>#REF!</f>
        <v>#REF!</v>
      </c>
      <c r="BM23" s="548" t="e">
        <f>#REF!</f>
        <v>#REF!</v>
      </c>
      <c r="BN23" s="548" t="e">
        <f>#REF!</f>
        <v>#REF!</v>
      </c>
      <c r="BO23" s="548" t="e">
        <f>#REF!</f>
        <v>#REF!</v>
      </c>
      <c r="BP23" s="548" t="e">
        <f>#REF!</f>
        <v>#REF!</v>
      </c>
      <c r="BQ23" s="549" t="e">
        <f>#REF!</f>
        <v>#REF!</v>
      </c>
    </row>
    <row r="24" spans="2:70" s="391" customFormat="1" x14ac:dyDescent="0.25">
      <c r="B24" s="521" t="s">
        <v>358</v>
      </c>
      <c r="C24" s="392"/>
      <c r="D24" s="540"/>
      <c r="E24" s="547" t="e">
        <f t="shared" ref="E24:Y24" si="3">E23*$F$10*$J$10</f>
        <v>#REF!</v>
      </c>
      <c r="F24" s="548" t="e">
        <f t="shared" si="3"/>
        <v>#REF!</v>
      </c>
      <c r="G24" s="548" t="e">
        <f t="shared" si="3"/>
        <v>#REF!</v>
      </c>
      <c r="H24" s="548" t="e">
        <f t="shared" si="3"/>
        <v>#REF!</v>
      </c>
      <c r="I24" s="548" t="e">
        <f t="shared" si="3"/>
        <v>#REF!</v>
      </c>
      <c r="J24" s="548" t="e">
        <f t="shared" si="3"/>
        <v>#REF!</v>
      </c>
      <c r="K24" s="548" t="e">
        <f t="shared" si="3"/>
        <v>#REF!</v>
      </c>
      <c r="L24" s="548" t="e">
        <f t="shared" si="3"/>
        <v>#REF!</v>
      </c>
      <c r="M24" s="548" t="e">
        <f t="shared" si="3"/>
        <v>#REF!</v>
      </c>
      <c r="N24" s="548" t="e">
        <f t="shared" si="3"/>
        <v>#REF!</v>
      </c>
      <c r="O24" s="548" t="e">
        <f t="shared" si="3"/>
        <v>#REF!</v>
      </c>
      <c r="P24" s="548" t="e">
        <f t="shared" si="3"/>
        <v>#REF!</v>
      </c>
      <c r="Q24" s="548" t="e">
        <f t="shared" si="3"/>
        <v>#REF!</v>
      </c>
      <c r="R24" s="548" t="e">
        <f t="shared" si="3"/>
        <v>#REF!</v>
      </c>
      <c r="S24" s="548" t="e">
        <f t="shared" si="3"/>
        <v>#REF!</v>
      </c>
      <c r="T24" s="548" t="e">
        <f t="shared" si="3"/>
        <v>#REF!</v>
      </c>
      <c r="U24" s="548" t="e">
        <f t="shared" si="3"/>
        <v>#REF!</v>
      </c>
      <c r="V24" s="548" t="e">
        <f t="shared" si="3"/>
        <v>#REF!</v>
      </c>
      <c r="W24" s="548" t="e">
        <f t="shared" si="3"/>
        <v>#REF!</v>
      </c>
      <c r="X24" s="548" t="e">
        <f t="shared" si="3"/>
        <v>#REF!</v>
      </c>
      <c r="Y24" s="549" t="e">
        <f t="shared" si="3"/>
        <v>#REF!</v>
      </c>
      <c r="Z24" s="550"/>
      <c r="AA24" s="547" t="e">
        <f t="shared" ref="AA24:AU24" si="4">AA23*$G$10*$K$10</f>
        <v>#REF!</v>
      </c>
      <c r="AB24" s="548" t="e">
        <f t="shared" si="4"/>
        <v>#REF!</v>
      </c>
      <c r="AC24" s="548" t="e">
        <f t="shared" si="4"/>
        <v>#REF!</v>
      </c>
      <c r="AD24" s="548" t="e">
        <f t="shared" si="4"/>
        <v>#REF!</v>
      </c>
      <c r="AE24" s="548" t="e">
        <f t="shared" si="4"/>
        <v>#REF!</v>
      </c>
      <c r="AF24" s="548" t="e">
        <f t="shared" si="4"/>
        <v>#REF!</v>
      </c>
      <c r="AG24" s="548" t="e">
        <f t="shared" si="4"/>
        <v>#REF!</v>
      </c>
      <c r="AH24" s="548" t="e">
        <f t="shared" si="4"/>
        <v>#REF!</v>
      </c>
      <c r="AI24" s="548" t="e">
        <f t="shared" si="4"/>
        <v>#REF!</v>
      </c>
      <c r="AJ24" s="548" t="e">
        <f t="shared" si="4"/>
        <v>#REF!</v>
      </c>
      <c r="AK24" s="548" t="e">
        <f t="shared" si="4"/>
        <v>#REF!</v>
      </c>
      <c r="AL24" s="548" t="e">
        <f t="shared" si="4"/>
        <v>#REF!</v>
      </c>
      <c r="AM24" s="548" t="e">
        <f t="shared" si="4"/>
        <v>#REF!</v>
      </c>
      <c r="AN24" s="548" t="e">
        <f t="shared" si="4"/>
        <v>#REF!</v>
      </c>
      <c r="AO24" s="548" t="e">
        <f t="shared" si="4"/>
        <v>#REF!</v>
      </c>
      <c r="AP24" s="548" t="e">
        <f t="shared" si="4"/>
        <v>#REF!</v>
      </c>
      <c r="AQ24" s="548" t="e">
        <f t="shared" si="4"/>
        <v>#REF!</v>
      </c>
      <c r="AR24" s="548" t="e">
        <f t="shared" si="4"/>
        <v>#REF!</v>
      </c>
      <c r="AS24" s="548" t="e">
        <f t="shared" si="4"/>
        <v>#REF!</v>
      </c>
      <c r="AT24" s="548" t="e">
        <f t="shared" si="4"/>
        <v>#REF!</v>
      </c>
      <c r="AU24" s="549" t="e">
        <f t="shared" si="4"/>
        <v>#REF!</v>
      </c>
      <c r="AV24" s="392"/>
      <c r="AW24" s="547" t="e">
        <f t="shared" ref="AW24:BQ24" si="5">AW23*$H$10*$L$10</f>
        <v>#REF!</v>
      </c>
      <c r="AX24" s="548" t="e">
        <f t="shared" si="5"/>
        <v>#REF!</v>
      </c>
      <c r="AY24" s="548" t="e">
        <f t="shared" si="5"/>
        <v>#REF!</v>
      </c>
      <c r="AZ24" s="548" t="e">
        <f t="shared" si="5"/>
        <v>#REF!</v>
      </c>
      <c r="BA24" s="548" t="e">
        <f t="shared" si="5"/>
        <v>#REF!</v>
      </c>
      <c r="BB24" s="548" t="e">
        <f t="shared" si="5"/>
        <v>#REF!</v>
      </c>
      <c r="BC24" s="548" t="e">
        <f t="shared" si="5"/>
        <v>#REF!</v>
      </c>
      <c r="BD24" s="548" t="e">
        <f t="shared" si="5"/>
        <v>#REF!</v>
      </c>
      <c r="BE24" s="548" t="e">
        <f t="shared" si="5"/>
        <v>#REF!</v>
      </c>
      <c r="BF24" s="548" t="e">
        <f t="shared" si="5"/>
        <v>#REF!</v>
      </c>
      <c r="BG24" s="548" t="e">
        <f t="shared" si="5"/>
        <v>#REF!</v>
      </c>
      <c r="BH24" s="548" t="e">
        <f t="shared" si="5"/>
        <v>#REF!</v>
      </c>
      <c r="BI24" s="548" t="e">
        <f t="shared" si="5"/>
        <v>#REF!</v>
      </c>
      <c r="BJ24" s="548" t="e">
        <f t="shared" si="5"/>
        <v>#REF!</v>
      </c>
      <c r="BK24" s="548" t="e">
        <f t="shared" si="5"/>
        <v>#REF!</v>
      </c>
      <c r="BL24" s="548" t="e">
        <f t="shared" si="5"/>
        <v>#REF!</v>
      </c>
      <c r="BM24" s="548" t="e">
        <f t="shared" si="5"/>
        <v>#REF!</v>
      </c>
      <c r="BN24" s="548" t="e">
        <f t="shared" si="5"/>
        <v>#REF!</v>
      </c>
      <c r="BO24" s="548" t="e">
        <f t="shared" si="5"/>
        <v>#REF!</v>
      </c>
      <c r="BP24" s="548" t="e">
        <f t="shared" si="5"/>
        <v>#REF!</v>
      </c>
      <c r="BQ24" s="549" t="e">
        <f t="shared" si="5"/>
        <v>#REF!</v>
      </c>
    </row>
    <row r="25" spans="2:70" s="391" customFormat="1" x14ac:dyDescent="0.25">
      <c r="B25" s="521"/>
      <c r="C25" s="392"/>
      <c r="D25" s="540"/>
      <c r="E25" s="547"/>
      <c r="F25" s="548"/>
      <c r="G25" s="548"/>
      <c r="H25" s="548"/>
      <c r="I25" s="548"/>
      <c r="J25" s="548"/>
      <c r="K25" s="548"/>
      <c r="L25" s="548"/>
      <c r="M25" s="548"/>
      <c r="N25" s="548"/>
      <c r="O25" s="548"/>
      <c r="P25" s="548"/>
      <c r="Q25" s="548"/>
      <c r="R25" s="548"/>
      <c r="S25" s="548"/>
      <c r="T25" s="548"/>
      <c r="U25" s="548"/>
      <c r="V25" s="548"/>
      <c r="W25" s="548"/>
      <c r="X25" s="548"/>
      <c r="Y25" s="549"/>
      <c r="Z25" s="550"/>
      <c r="AA25" s="547"/>
      <c r="AB25" s="548"/>
      <c r="AC25" s="548"/>
      <c r="AD25" s="548"/>
      <c r="AE25" s="548"/>
      <c r="AF25" s="548"/>
      <c r="AG25" s="548"/>
      <c r="AH25" s="548"/>
      <c r="AI25" s="548"/>
      <c r="AJ25" s="548"/>
      <c r="AK25" s="548"/>
      <c r="AL25" s="548"/>
      <c r="AM25" s="548"/>
      <c r="AN25" s="548"/>
      <c r="AO25" s="548"/>
      <c r="AP25" s="548"/>
      <c r="AQ25" s="548"/>
      <c r="AR25" s="548"/>
      <c r="AS25" s="548"/>
      <c r="AT25" s="548"/>
      <c r="AU25" s="549"/>
      <c r="AV25" s="392"/>
      <c r="AW25" s="547"/>
      <c r="AX25" s="548"/>
      <c r="AY25" s="548"/>
      <c r="AZ25" s="548"/>
      <c r="BA25" s="548"/>
      <c r="BB25" s="548"/>
      <c r="BC25" s="548"/>
      <c r="BD25" s="548"/>
      <c r="BE25" s="548"/>
      <c r="BF25" s="548"/>
      <c r="BG25" s="548"/>
      <c r="BH25" s="548"/>
      <c r="BI25" s="548"/>
      <c r="BJ25" s="548"/>
      <c r="BK25" s="548"/>
      <c r="BL25" s="548"/>
      <c r="BM25" s="548"/>
      <c r="BN25" s="548"/>
      <c r="BO25" s="548"/>
      <c r="BP25" s="548"/>
      <c r="BQ25" s="549"/>
    </row>
    <row r="26" spans="2:70" s="391" customFormat="1" ht="23.25" x14ac:dyDescent="0.25">
      <c r="B26" s="648" t="s">
        <v>352</v>
      </c>
      <c r="C26" s="392"/>
      <c r="D26" s="540"/>
      <c r="E26" s="547"/>
      <c r="F26" s="548"/>
      <c r="G26" s="548"/>
      <c r="H26" s="548"/>
      <c r="I26" s="548"/>
      <c r="J26" s="548"/>
      <c r="K26" s="548"/>
      <c r="L26" s="548"/>
      <c r="M26" s="548"/>
      <c r="N26" s="548"/>
      <c r="O26" s="548"/>
      <c r="P26" s="548"/>
      <c r="Q26" s="548"/>
      <c r="R26" s="548"/>
      <c r="S26" s="548"/>
      <c r="T26" s="548"/>
      <c r="U26" s="548"/>
      <c r="V26" s="548"/>
      <c r="W26" s="548"/>
      <c r="X26" s="548"/>
      <c r="Y26" s="549"/>
      <c r="Z26" s="550"/>
      <c r="AA26" s="547"/>
      <c r="AB26" s="548"/>
      <c r="AC26" s="548"/>
      <c r="AD26" s="548"/>
      <c r="AE26" s="548"/>
      <c r="AF26" s="548"/>
      <c r="AG26" s="548"/>
      <c r="AH26" s="548"/>
      <c r="AI26" s="548"/>
      <c r="AJ26" s="548"/>
      <c r="AK26" s="548"/>
      <c r="AL26" s="548"/>
      <c r="AM26" s="548"/>
      <c r="AN26" s="548"/>
      <c r="AO26" s="548"/>
      <c r="AP26" s="548"/>
      <c r="AQ26" s="548"/>
      <c r="AR26" s="548"/>
      <c r="AS26" s="548"/>
      <c r="AT26" s="548"/>
      <c r="AU26" s="549"/>
      <c r="AV26" s="392"/>
      <c r="AW26" s="547"/>
      <c r="AX26" s="548"/>
      <c r="AY26" s="548"/>
      <c r="AZ26" s="548"/>
      <c r="BA26" s="548"/>
      <c r="BB26" s="548"/>
      <c r="BC26" s="548"/>
      <c r="BD26" s="548"/>
      <c r="BE26" s="548"/>
      <c r="BF26" s="548"/>
      <c r="BG26" s="548"/>
      <c r="BH26" s="548"/>
      <c r="BI26" s="548"/>
      <c r="BJ26" s="548"/>
      <c r="BK26" s="548"/>
      <c r="BL26" s="548"/>
      <c r="BM26" s="548"/>
      <c r="BN26" s="548"/>
      <c r="BO26" s="548"/>
      <c r="BP26" s="548"/>
      <c r="BQ26" s="549"/>
    </row>
    <row r="27" spans="2:70" s="391" customFormat="1" x14ac:dyDescent="0.25">
      <c r="B27" s="521" t="s">
        <v>363</v>
      </c>
      <c r="C27" s="392"/>
      <c r="D27" s="540"/>
      <c r="E27" s="547" t="e">
        <f>#REF!</f>
        <v>#REF!</v>
      </c>
      <c r="F27" s="548" t="e">
        <f>#REF!</f>
        <v>#REF!</v>
      </c>
      <c r="G27" s="548" t="e">
        <f>#REF!</f>
        <v>#REF!</v>
      </c>
      <c r="H27" s="548" t="e">
        <f>#REF!</f>
        <v>#REF!</v>
      </c>
      <c r="I27" s="548" t="e">
        <f>#REF!</f>
        <v>#REF!</v>
      </c>
      <c r="J27" s="548" t="e">
        <f>#REF!</f>
        <v>#REF!</v>
      </c>
      <c r="K27" s="548" t="e">
        <f>#REF!</f>
        <v>#REF!</v>
      </c>
      <c r="L27" s="548" t="e">
        <f>#REF!</f>
        <v>#REF!</v>
      </c>
      <c r="M27" s="548" t="e">
        <f>#REF!</f>
        <v>#REF!</v>
      </c>
      <c r="N27" s="548" t="e">
        <f>#REF!</f>
        <v>#REF!</v>
      </c>
      <c r="O27" s="548" t="e">
        <f>#REF!</f>
        <v>#REF!</v>
      </c>
      <c r="P27" s="548" t="e">
        <f>#REF!</f>
        <v>#REF!</v>
      </c>
      <c r="Q27" s="548" t="e">
        <f>#REF!</f>
        <v>#REF!</v>
      </c>
      <c r="R27" s="548" t="e">
        <f>#REF!</f>
        <v>#REF!</v>
      </c>
      <c r="S27" s="548" t="e">
        <f>#REF!</f>
        <v>#REF!</v>
      </c>
      <c r="T27" s="548" t="e">
        <f>#REF!</f>
        <v>#REF!</v>
      </c>
      <c r="U27" s="548" t="e">
        <f>#REF!</f>
        <v>#REF!</v>
      </c>
      <c r="V27" s="548" t="e">
        <f>#REF!</f>
        <v>#REF!</v>
      </c>
      <c r="W27" s="548" t="e">
        <f>#REF!</f>
        <v>#REF!</v>
      </c>
      <c r="X27" s="548" t="e">
        <f>#REF!</f>
        <v>#REF!</v>
      </c>
      <c r="Y27" s="549" t="e">
        <f>#REF!</f>
        <v>#REF!</v>
      </c>
      <c r="Z27" s="550"/>
      <c r="AA27" s="547" t="e">
        <f>#REF!</f>
        <v>#REF!</v>
      </c>
      <c r="AB27" s="548" t="e">
        <f>#REF!</f>
        <v>#REF!</v>
      </c>
      <c r="AC27" s="548" t="e">
        <f>#REF!</f>
        <v>#REF!</v>
      </c>
      <c r="AD27" s="548" t="e">
        <f>#REF!</f>
        <v>#REF!</v>
      </c>
      <c r="AE27" s="548" t="e">
        <f>#REF!</f>
        <v>#REF!</v>
      </c>
      <c r="AF27" s="548" t="e">
        <f>#REF!</f>
        <v>#REF!</v>
      </c>
      <c r="AG27" s="548" t="e">
        <f>#REF!</f>
        <v>#REF!</v>
      </c>
      <c r="AH27" s="548" t="e">
        <f>#REF!</f>
        <v>#REF!</v>
      </c>
      <c r="AI27" s="548" t="e">
        <f>#REF!</f>
        <v>#REF!</v>
      </c>
      <c r="AJ27" s="548" t="e">
        <f>#REF!</f>
        <v>#REF!</v>
      </c>
      <c r="AK27" s="548" t="e">
        <f>#REF!</f>
        <v>#REF!</v>
      </c>
      <c r="AL27" s="548" t="e">
        <f>#REF!</f>
        <v>#REF!</v>
      </c>
      <c r="AM27" s="548" t="e">
        <f>#REF!</f>
        <v>#REF!</v>
      </c>
      <c r="AN27" s="548" t="e">
        <f>#REF!</f>
        <v>#REF!</v>
      </c>
      <c r="AO27" s="548" t="e">
        <f>#REF!</f>
        <v>#REF!</v>
      </c>
      <c r="AP27" s="548" t="e">
        <f>#REF!</f>
        <v>#REF!</v>
      </c>
      <c r="AQ27" s="548" t="e">
        <f>#REF!</f>
        <v>#REF!</v>
      </c>
      <c r="AR27" s="548" t="e">
        <f>#REF!</f>
        <v>#REF!</v>
      </c>
      <c r="AS27" s="548" t="e">
        <f>#REF!</f>
        <v>#REF!</v>
      </c>
      <c r="AT27" s="548" t="e">
        <f>#REF!</f>
        <v>#REF!</v>
      </c>
      <c r="AU27" s="549" t="e">
        <f>#REF!</f>
        <v>#REF!</v>
      </c>
      <c r="AV27" s="548"/>
      <c r="AW27" s="547" t="e">
        <f>#REF!</f>
        <v>#REF!</v>
      </c>
      <c r="AX27" s="548" t="e">
        <f>#REF!</f>
        <v>#REF!</v>
      </c>
      <c r="AY27" s="548" t="e">
        <f>#REF!</f>
        <v>#REF!</v>
      </c>
      <c r="AZ27" s="548" t="e">
        <f>#REF!</f>
        <v>#REF!</v>
      </c>
      <c r="BA27" s="548" t="e">
        <f>#REF!</f>
        <v>#REF!</v>
      </c>
      <c r="BB27" s="548" t="e">
        <f>#REF!</f>
        <v>#REF!</v>
      </c>
      <c r="BC27" s="548" t="e">
        <f>#REF!</f>
        <v>#REF!</v>
      </c>
      <c r="BD27" s="548" t="e">
        <f>#REF!</f>
        <v>#REF!</v>
      </c>
      <c r="BE27" s="548" t="e">
        <f>#REF!</f>
        <v>#REF!</v>
      </c>
      <c r="BF27" s="548" t="e">
        <f>#REF!</f>
        <v>#REF!</v>
      </c>
      <c r="BG27" s="548" t="e">
        <f>#REF!</f>
        <v>#REF!</v>
      </c>
      <c r="BH27" s="548" t="e">
        <f>#REF!</f>
        <v>#REF!</v>
      </c>
      <c r="BI27" s="548" t="e">
        <f>#REF!</f>
        <v>#REF!</v>
      </c>
      <c r="BJ27" s="548" t="e">
        <f>#REF!</f>
        <v>#REF!</v>
      </c>
      <c r="BK27" s="548" t="e">
        <f>#REF!</f>
        <v>#REF!</v>
      </c>
      <c r="BL27" s="548" t="e">
        <f>#REF!</f>
        <v>#REF!</v>
      </c>
      <c r="BM27" s="548" t="e">
        <f>#REF!</f>
        <v>#REF!</v>
      </c>
      <c r="BN27" s="548" t="e">
        <f>#REF!</f>
        <v>#REF!</v>
      </c>
      <c r="BO27" s="548" t="e">
        <f>#REF!</f>
        <v>#REF!</v>
      </c>
      <c r="BP27" s="548" t="e">
        <f>#REF!</f>
        <v>#REF!</v>
      </c>
      <c r="BQ27" s="549" t="e">
        <f>#REF!</f>
        <v>#REF!</v>
      </c>
    </row>
    <row r="28" spans="2:70" s="391" customFormat="1" x14ac:dyDescent="0.25">
      <c r="B28" s="521" t="s">
        <v>359</v>
      </c>
      <c r="C28" s="392"/>
      <c r="D28" s="540"/>
      <c r="E28" s="547" t="e">
        <f t="shared" ref="E28:Y28" si="6">E27*$F$11*$J$11</f>
        <v>#REF!</v>
      </c>
      <c r="F28" s="548" t="e">
        <f t="shared" si="6"/>
        <v>#REF!</v>
      </c>
      <c r="G28" s="548" t="e">
        <f t="shared" si="6"/>
        <v>#REF!</v>
      </c>
      <c r="H28" s="548" t="e">
        <f t="shared" si="6"/>
        <v>#REF!</v>
      </c>
      <c r="I28" s="548" t="e">
        <f t="shared" si="6"/>
        <v>#REF!</v>
      </c>
      <c r="J28" s="548" t="e">
        <f t="shared" si="6"/>
        <v>#REF!</v>
      </c>
      <c r="K28" s="548" t="e">
        <f t="shared" si="6"/>
        <v>#REF!</v>
      </c>
      <c r="L28" s="548" t="e">
        <f t="shared" si="6"/>
        <v>#REF!</v>
      </c>
      <c r="M28" s="548" t="e">
        <f t="shared" si="6"/>
        <v>#REF!</v>
      </c>
      <c r="N28" s="548" t="e">
        <f t="shared" si="6"/>
        <v>#REF!</v>
      </c>
      <c r="O28" s="548" t="e">
        <f t="shared" si="6"/>
        <v>#REF!</v>
      </c>
      <c r="P28" s="548" t="e">
        <f t="shared" si="6"/>
        <v>#REF!</v>
      </c>
      <c r="Q28" s="548" t="e">
        <f t="shared" si="6"/>
        <v>#REF!</v>
      </c>
      <c r="R28" s="548" t="e">
        <f t="shared" si="6"/>
        <v>#REF!</v>
      </c>
      <c r="S28" s="548" t="e">
        <f t="shared" si="6"/>
        <v>#REF!</v>
      </c>
      <c r="T28" s="548" t="e">
        <f t="shared" si="6"/>
        <v>#REF!</v>
      </c>
      <c r="U28" s="548" t="e">
        <f t="shared" si="6"/>
        <v>#REF!</v>
      </c>
      <c r="V28" s="548" t="e">
        <f t="shared" si="6"/>
        <v>#REF!</v>
      </c>
      <c r="W28" s="548" t="e">
        <f t="shared" si="6"/>
        <v>#REF!</v>
      </c>
      <c r="X28" s="548" t="e">
        <f t="shared" si="6"/>
        <v>#REF!</v>
      </c>
      <c r="Y28" s="549" t="e">
        <f t="shared" si="6"/>
        <v>#REF!</v>
      </c>
      <c r="Z28" s="550"/>
      <c r="AA28" s="547" t="e">
        <f t="shared" ref="AA28:AU28" si="7">AA27*$G$11*$K$11</f>
        <v>#REF!</v>
      </c>
      <c r="AB28" s="548" t="e">
        <f t="shared" si="7"/>
        <v>#REF!</v>
      </c>
      <c r="AC28" s="548" t="e">
        <f t="shared" si="7"/>
        <v>#REF!</v>
      </c>
      <c r="AD28" s="548" t="e">
        <f t="shared" si="7"/>
        <v>#REF!</v>
      </c>
      <c r="AE28" s="548" t="e">
        <f t="shared" si="7"/>
        <v>#REF!</v>
      </c>
      <c r="AF28" s="548" t="e">
        <f t="shared" si="7"/>
        <v>#REF!</v>
      </c>
      <c r="AG28" s="548" t="e">
        <f t="shared" si="7"/>
        <v>#REF!</v>
      </c>
      <c r="AH28" s="548" t="e">
        <f t="shared" si="7"/>
        <v>#REF!</v>
      </c>
      <c r="AI28" s="548" t="e">
        <f t="shared" si="7"/>
        <v>#REF!</v>
      </c>
      <c r="AJ28" s="548" t="e">
        <f t="shared" si="7"/>
        <v>#REF!</v>
      </c>
      <c r="AK28" s="548" t="e">
        <f t="shared" si="7"/>
        <v>#REF!</v>
      </c>
      <c r="AL28" s="548" t="e">
        <f t="shared" si="7"/>
        <v>#REF!</v>
      </c>
      <c r="AM28" s="548" t="e">
        <f t="shared" si="7"/>
        <v>#REF!</v>
      </c>
      <c r="AN28" s="548" t="e">
        <f t="shared" si="7"/>
        <v>#REF!</v>
      </c>
      <c r="AO28" s="548" t="e">
        <f t="shared" si="7"/>
        <v>#REF!</v>
      </c>
      <c r="AP28" s="548" t="e">
        <f t="shared" si="7"/>
        <v>#REF!</v>
      </c>
      <c r="AQ28" s="548" t="e">
        <f t="shared" si="7"/>
        <v>#REF!</v>
      </c>
      <c r="AR28" s="548" t="e">
        <f t="shared" si="7"/>
        <v>#REF!</v>
      </c>
      <c r="AS28" s="548" t="e">
        <f t="shared" si="7"/>
        <v>#REF!</v>
      </c>
      <c r="AT28" s="548" t="e">
        <f t="shared" si="7"/>
        <v>#REF!</v>
      </c>
      <c r="AU28" s="549" t="e">
        <f t="shared" si="7"/>
        <v>#REF!</v>
      </c>
      <c r="AV28" s="392"/>
      <c r="AW28" s="547" t="e">
        <f t="shared" ref="AW28:BQ28" si="8">AW27*$H$11*$L$11</f>
        <v>#REF!</v>
      </c>
      <c r="AX28" s="548" t="e">
        <f t="shared" si="8"/>
        <v>#REF!</v>
      </c>
      <c r="AY28" s="548" t="e">
        <f t="shared" si="8"/>
        <v>#REF!</v>
      </c>
      <c r="AZ28" s="548" t="e">
        <f t="shared" si="8"/>
        <v>#REF!</v>
      </c>
      <c r="BA28" s="548" t="e">
        <f t="shared" si="8"/>
        <v>#REF!</v>
      </c>
      <c r="BB28" s="548" t="e">
        <f t="shared" si="8"/>
        <v>#REF!</v>
      </c>
      <c r="BC28" s="548" t="e">
        <f t="shared" si="8"/>
        <v>#REF!</v>
      </c>
      <c r="BD28" s="548" t="e">
        <f t="shared" si="8"/>
        <v>#REF!</v>
      </c>
      <c r="BE28" s="548" t="e">
        <f t="shared" si="8"/>
        <v>#REF!</v>
      </c>
      <c r="BF28" s="548" t="e">
        <f t="shared" si="8"/>
        <v>#REF!</v>
      </c>
      <c r="BG28" s="548" t="e">
        <f t="shared" si="8"/>
        <v>#REF!</v>
      </c>
      <c r="BH28" s="548" t="e">
        <f t="shared" si="8"/>
        <v>#REF!</v>
      </c>
      <c r="BI28" s="548" t="e">
        <f t="shared" si="8"/>
        <v>#REF!</v>
      </c>
      <c r="BJ28" s="548" t="e">
        <f t="shared" si="8"/>
        <v>#REF!</v>
      </c>
      <c r="BK28" s="548" t="e">
        <f t="shared" si="8"/>
        <v>#REF!</v>
      </c>
      <c r="BL28" s="548" t="e">
        <f t="shared" si="8"/>
        <v>#REF!</v>
      </c>
      <c r="BM28" s="548" t="e">
        <f t="shared" si="8"/>
        <v>#REF!</v>
      </c>
      <c r="BN28" s="548" t="e">
        <f t="shared" si="8"/>
        <v>#REF!</v>
      </c>
      <c r="BO28" s="548" t="e">
        <f t="shared" si="8"/>
        <v>#REF!</v>
      </c>
      <c r="BP28" s="548" t="e">
        <f t="shared" si="8"/>
        <v>#REF!</v>
      </c>
      <c r="BQ28" s="549" t="e">
        <f t="shared" si="8"/>
        <v>#REF!</v>
      </c>
    </row>
    <row r="29" spans="2:70" s="391" customFormat="1" x14ac:dyDescent="0.25">
      <c r="B29" s="521"/>
      <c r="C29" s="392"/>
      <c r="D29" s="540"/>
      <c r="E29" s="547"/>
      <c r="F29" s="548"/>
      <c r="G29" s="548"/>
      <c r="H29" s="548"/>
      <c r="I29" s="548"/>
      <c r="J29" s="548"/>
      <c r="K29" s="548"/>
      <c r="L29" s="548"/>
      <c r="M29" s="548"/>
      <c r="N29" s="548"/>
      <c r="O29" s="548"/>
      <c r="P29" s="548"/>
      <c r="Q29" s="548"/>
      <c r="R29" s="548"/>
      <c r="S29" s="548"/>
      <c r="T29" s="548"/>
      <c r="U29" s="548"/>
      <c r="V29" s="548"/>
      <c r="W29" s="548"/>
      <c r="X29" s="548"/>
      <c r="Y29" s="549"/>
      <c r="Z29" s="550"/>
      <c r="AA29" s="547"/>
      <c r="AB29" s="548"/>
      <c r="AC29" s="548"/>
      <c r="AD29" s="548"/>
      <c r="AE29" s="548"/>
      <c r="AF29" s="548"/>
      <c r="AG29" s="548"/>
      <c r="AH29" s="548"/>
      <c r="AI29" s="548"/>
      <c r="AJ29" s="548"/>
      <c r="AK29" s="548"/>
      <c r="AL29" s="548"/>
      <c r="AM29" s="548"/>
      <c r="AN29" s="548"/>
      <c r="AO29" s="548"/>
      <c r="AP29" s="548"/>
      <c r="AQ29" s="548"/>
      <c r="AR29" s="548"/>
      <c r="AS29" s="548"/>
      <c r="AT29" s="548"/>
      <c r="AU29" s="549"/>
      <c r="AV29" s="392"/>
      <c r="AW29" s="547"/>
      <c r="AX29" s="548"/>
      <c r="AY29" s="548"/>
      <c r="AZ29" s="548"/>
      <c r="BA29" s="548"/>
      <c r="BB29" s="548"/>
      <c r="BC29" s="548"/>
      <c r="BD29" s="548"/>
      <c r="BE29" s="548"/>
      <c r="BF29" s="548"/>
      <c r="BG29" s="548"/>
      <c r="BH29" s="548"/>
      <c r="BI29" s="548"/>
      <c r="BJ29" s="548"/>
      <c r="BK29" s="548"/>
      <c r="BL29" s="548"/>
      <c r="BM29" s="548"/>
      <c r="BN29" s="548"/>
      <c r="BO29" s="548"/>
      <c r="BP29" s="548"/>
      <c r="BQ29" s="549"/>
    </row>
    <row r="30" spans="2:70" s="391" customFormat="1" ht="23.25" x14ac:dyDescent="0.25">
      <c r="B30" s="648" t="s">
        <v>160</v>
      </c>
      <c r="C30" s="392"/>
      <c r="D30" s="540"/>
      <c r="E30" s="547"/>
      <c r="F30" s="548"/>
      <c r="G30" s="548"/>
      <c r="H30" s="548"/>
      <c r="I30" s="548"/>
      <c r="J30" s="548"/>
      <c r="K30" s="548"/>
      <c r="L30" s="548"/>
      <c r="M30" s="548"/>
      <c r="N30" s="548"/>
      <c r="O30" s="548"/>
      <c r="P30" s="548"/>
      <c r="Q30" s="548"/>
      <c r="R30" s="548"/>
      <c r="S30" s="548"/>
      <c r="T30" s="548"/>
      <c r="U30" s="548"/>
      <c r="V30" s="548"/>
      <c r="W30" s="548"/>
      <c r="X30" s="548"/>
      <c r="Y30" s="549"/>
      <c r="Z30" s="550"/>
      <c r="AA30" s="547"/>
      <c r="AB30" s="548"/>
      <c r="AC30" s="548"/>
      <c r="AD30" s="548"/>
      <c r="AE30" s="548"/>
      <c r="AF30" s="548"/>
      <c r="AG30" s="548"/>
      <c r="AH30" s="548"/>
      <c r="AI30" s="548"/>
      <c r="AJ30" s="548"/>
      <c r="AK30" s="548"/>
      <c r="AL30" s="548"/>
      <c r="AM30" s="548"/>
      <c r="AN30" s="548"/>
      <c r="AO30" s="548"/>
      <c r="AP30" s="548"/>
      <c r="AQ30" s="548"/>
      <c r="AR30" s="548"/>
      <c r="AS30" s="548"/>
      <c r="AT30" s="548"/>
      <c r="AU30" s="549"/>
      <c r="AV30" s="392"/>
      <c r="AW30" s="547"/>
      <c r="AX30" s="548"/>
      <c r="AY30" s="548"/>
      <c r="AZ30" s="548"/>
      <c r="BA30" s="548"/>
      <c r="BB30" s="548"/>
      <c r="BC30" s="548"/>
      <c r="BD30" s="548"/>
      <c r="BE30" s="548"/>
      <c r="BF30" s="548"/>
      <c r="BG30" s="548"/>
      <c r="BH30" s="548"/>
      <c r="BI30" s="548"/>
      <c r="BJ30" s="548"/>
      <c r="BK30" s="548"/>
      <c r="BL30" s="548"/>
      <c r="BM30" s="548"/>
      <c r="BN30" s="548"/>
      <c r="BO30" s="548"/>
      <c r="BP30" s="548"/>
      <c r="BQ30" s="549"/>
    </row>
    <row r="31" spans="2:70" s="391" customFormat="1" x14ac:dyDescent="0.25">
      <c r="B31" s="521" t="s">
        <v>363</v>
      </c>
      <c r="C31" s="392"/>
      <c r="D31" s="540"/>
      <c r="E31" s="547" t="e">
        <f>#REF!</f>
        <v>#REF!</v>
      </c>
      <c r="F31" s="548" t="e">
        <f>#REF!</f>
        <v>#REF!</v>
      </c>
      <c r="G31" s="548" t="e">
        <f>#REF!</f>
        <v>#REF!</v>
      </c>
      <c r="H31" s="548" t="e">
        <f>#REF!</f>
        <v>#REF!</v>
      </c>
      <c r="I31" s="548" t="e">
        <f>#REF!</f>
        <v>#REF!</v>
      </c>
      <c r="J31" s="548" t="e">
        <f>#REF!</f>
        <v>#REF!</v>
      </c>
      <c r="K31" s="548" t="e">
        <f>#REF!</f>
        <v>#REF!</v>
      </c>
      <c r="L31" s="548" t="e">
        <f>#REF!</f>
        <v>#REF!</v>
      </c>
      <c r="M31" s="548" t="e">
        <f>#REF!</f>
        <v>#REF!</v>
      </c>
      <c r="N31" s="548" t="e">
        <f>#REF!</f>
        <v>#REF!</v>
      </c>
      <c r="O31" s="548" t="e">
        <f>#REF!</f>
        <v>#REF!</v>
      </c>
      <c r="P31" s="548" t="e">
        <f>#REF!</f>
        <v>#REF!</v>
      </c>
      <c r="Q31" s="548" t="e">
        <f>#REF!</f>
        <v>#REF!</v>
      </c>
      <c r="R31" s="548" t="e">
        <f>#REF!</f>
        <v>#REF!</v>
      </c>
      <c r="S31" s="548" t="e">
        <f>#REF!</f>
        <v>#REF!</v>
      </c>
      <c r="T31" s="548" t="e">
        <f>#REF!</f>
        <v>#REF!</v>
      </c>
      <c r="U31" s="548" t="e">
        <f>#REF!</f>
        <v>#REF!</v>
      </c>
      <c r="V31" s="548" t="e">
        <f>#REF!</f>
        <v>#REF!</v>
      </c>
      <c r="W31" s="548" t="e">
        <f>#REF!</f>
        <v>#REF!</v>
      </c>
      <c r="X31" s="548" t="e">
        <f>#REF!</f>
        <v>#REF!</v>
      </c>
      <c r="Y31" s="549" t="e">
        <f>#REF!</f>
        <v>#REF!</v>
      </c>
      <c r="Z31" s="550"/>
      <c r="AA31" s="547" t="e">
        <f>#REF!</f>
        <v>#REF!</v>
      </c>
      <c r="AB31" s="548" t="e">
        <f>#REF!</f>
        <v>#REF!</v>
      </c>
      <c r="AC31" s="548" t="e">
        <f>#REF!</f>
        <v>#REF!</v>
      </c>
      <c r="AD31" s="548" t="e">
        <f>#REF!</f>
        <v>#REF!</v>
      </c>
      <c r="AE31" s="548" t="e">
        <f>#REF!</f>
        <v>#REF!</v>
      </c>
      <c r="AF31" s="548" t="e">
        <f>#REF!</f>
        <v>#REF!</v>
      </c>
      <c r="AG31" s="548" t="e">
        <f>#REF!</f>
        <v>#REF!</v>
      </c>
      <c r="AH31" s="548" t="e">
        <f>#REF!</f>
        <v>#REF!</v>
      </c>
      <c r="AI31" s="548" t="e">
        <f>#REF!</f>
        <v>#REF!</v>
      </c>
      <c r="AJ31" s="548" t="e">
        <f>#REF!</f>
        <v>#REF!</v>
      </c>
      <c r="AK31" s="548" t="e">
        <f>#REF!</f>
        <v>#REF!</v>
      </c>
      <c r="AL31" s="548" t="e">
        <f>#REF!</f>
        <v>#REF!</v>
      </c>
      <c r="AM31" s="548" t="e">
        <f>#REF!</f>
        <v>#REF!</v>
      </c>
      <c r="AN31" s="548" t="e">
        <f>#REF!</f>
        <v>#REF!</v>
      </c>
      <c r="AO31" s="548" t="e">
        <f>#REF!</f>
        <v>#REF!</v>
      </c>
      <c r="AP31" s="548" t="e">
        <f>#REF!</f>
        <v>#REF!</v>
      </c>
      <c r="AQ31" s="548" t="e">
        <f>#REF!</f>
        <v>#REF!</v>
      </c>
      <c r="AR31" s="548" t="e">
        <f>#REF!</f>
        <v>#REF!</v>
      </c>
      <c r="AS31" s="548" t="e">
        <f>#REF!</f>
        <v>#REF!</v>
      </c>
      <c r="AT31" s="548" t="e">
        <f>#REF!</f>
        <v>#REF!</v>
      </c>
      <c r="AU31" s="549" t="e">
        <f>#REF!</f>
        <v>#REF!</v>
      </c>
      <c r="AV31" s="548"/>
      <c r="AW31" s="547" t="e">
        <f>#REF!</f>
        <v>#REF!</v>
      </c>
      <c r="AX31" s="548" t="e">
        <f>#REF!</f>
        <v>#REF!</v>
      </c>
      <c r="AY31" s="548" t="e">
        <f>#REF!</f>
        <v>#REF!</v>
      </c>
      <c r="AZ31" s="548" t="e">
        <f>#REF!</f>
        <v>#REF!</v>
      </c>
      <c r="BA31" s="548" t="e">
        <f>#REF!</f>
        <v>#REF!</v>
      </c>
      <c r="BB31" s="548" t="e">
        <f>#REF!</f>
        <v>#REF!</v>
      </c>
      <c r="BC31" s="548" t="e">
        <f>#REF!</f>
        <v>#REF!</v>
      </c>
      <c r="BD31" s="548" t="e">
        <f>#REF!</f>
        <v>#REF!</v>
      </c>
      <c r="BE31" s="548" t="e">
        <f>#REF!</f>
        <v>#REF!</v>
      </c>
      <c r="BF31" s="548" t="e">
        <f>#REF!</f>
        <v>#REF!</v>
      </c>
      <c r="BG31" s="548" t="e">
        <f>#REF!</f>
        <v>#REF!</v>
      </c>
      <c r="BH31" s="548" t="e">
        <f>#REF!</f>
        <v>#REF!</v>
      </c>
      <c r="BI31" s="548" t="e">
        <f>#REF!</f>
        <v>#REF!</v>
      </c>
      <c r="BJ31" s="548" t="e">
        <f>#REF!</f>
        <v>#REF!</v>
      </c>
      <c r="BK31" s="548" t="e">
        <f>#REF!</f>
        <v>#REF!</v>
      </c>
      <c r="BL31" s="548" t="e">
        <f>#REF!</f>
        <v>#REF!</v>
      </c>
      <c r="BM31" s="548" t="e">
        <f>#REF!</f>
        <v>#REF!</v>
      </c>
      <c r="BN31" s="548" t="e">
        <f>#REF!</f>
        <v>#REF!</v>
      </c>
      <c r="BO31" s="548" t="e">
        <f>#REF!</f>
        <v>#REF!</v>
      </c>
      <c r="BP31" s="548" t="e">
        <f>#REF!</f>
        <v>#REF!</v>
      </c>
      <c r="BQ31" s="549" t="e">
        <f>#REF!</f>
        <v>#REF!</v>
      </c>
      <c r="BR31" s="548"/>
    </row>
    <row r="32" spans="2:70" s="391" customFormat="1" x14ac:dyDescent="0.25">
      <c r="B32" s="521" t="s">
        <v>360</v>
      </c>
      <c r="C32" s="392"/>
      <c r="D32" s="540"/>
      <c r="E32" s="547" t="e">
        <f t="shared" ref="E32:Y32" si="9">E31*$F$12*$J$12</f>
        <v>#REF!</v>
      </c>
      <c r="F32" s="548" t="e">
        <f t="shared" si="9"/>
        <v>#REF!</v>
      </c>
      <c r="G32" s="548" t="e">
        <f t="shared" si="9"/>
        <v>#REF!</v>
      </c>
      <c r="H32" s="548" t="e">
        <f t="shared" si="9"/>
        <v>#REF!</v>
      </c>
      <c r="I32" s="548" t="e">
        <f t="shared" si="9"/>
        <v>#REF!</v>
      </c>
      <c r="J32" s="548" t="e">
        <f t="shared" si="9"/>
        <v>#REF!</v>
      </c>
      <c r="K32" s="548" t="e">
        <f t="shared" si="9"/>
        <v>#REF!</v>
      </c>
      <c r="L32" s="548" t="e">
        <f t="shared" si="9"/>
        <v>#REF!</v>
      </c>
      <c r="M32" s="548" t="e">
        <f t="shared" si="9"/>
        <v>#REF!</v>
      </c>
      <c r="N32" s="548" t="e">
        <f t="shared" si="9"/>
        <v>#REF!</v>
      </c>
      <c r="O32" s="548" t="e">
        <f t="shared" si="9"/>
        <v>#REF!</v>
      </c>
      <c r="P32" s="548" t="e">
        <f t="shared" si="9"/>
        <v>#REF!</v>
      </c>
      <c r="Q32" s="548" t="e">
        <f t="shared" si="9"/>
        <v>#REF!</v>
      </c>
      <c r="R32" s="548" t="e">
        <f t="shared" si="9"/>
        <v>#REF!</v>
      </c>
      <c r="S32" s="548" t="e">
        <f t="shared" si="9"/>
        <v>#REF!</v>
      </c>
      <c r="T32" s="548" t="e">
        <f t="shared" si="9"/>
        <v>#REF!</v>
      </c>
      <c r="U32" s="548" t="e">
        <f t="shared" si="9"/>
        <v>#REF!</v>
      </c>
      <c r="V32" s="548" t="e">
        <f t="shared" si="9"/>
        <v>#REF!</v>
      </c>
      <c r="W32" s="548" t="e">
        <f t="shared" si="9"/>
        <v>#REF!</v>
      </c>
      <c r="X32" s="548" t="e">
        <f t="shared" si="9"/>
        <v>#REF!</v>
      </c>
      <c r="Y32" s="549" t="e">
        <f t="shared" si="9"/>
        <v>#REF!</v>
      </c>
      <c r="Z32" s="550"/>
      <c r="AA32" s="547" t="e">
        <f t="shared" ref="AA32:AU32" si="10">AA31*$G$12*$K$12</f>
        <v>#REF!</v>
      </c>
      <c r="AB32" s="548" t="e">
        <f t="shared" si="10"/>
        <v>#REF!</v>
      </c>
      <c r="AC32" s="548" t="e">
        <f t="shared" si="10"/>
        <v>#REF!</v>
      </c>
      <c r="AD32" s="548" t="e">
        <f t="shared" si="10"/>
        <v>#REF!</v>
      </c>
      <c r="AE32" s="548" t="e">
        <f t="shared" si="10"/>
        <v>#REF!</v>
      </c>
      <c r="AF32" s="548" t="e">
        <f t="shared" si="10"/>
        <v>#REF!</v>
      </c>
      <c r="AG32" s="548" t="e">
        <f t="shared" si="10"/>
        <v>#REF!</v>
      </c>
      <c r="AH32" s="548" t="e">
        <f t="shared" si="10"/>
        <v>#REF!</v>
      </c>
      <c r="AI32" s="548" t="e">
        <f t="shared" si="10"/>
        <v>#REF!</v>
      </c>
      <c r="AJ32" s="548" t="e">
        <f t="shared" si="10"/>
        <v>#REF!</v>
      </c>
      <c r="AK32" s="548" t="e">
        <f t="shared" si="10"/>
        <v>#REF!</v>
      </c>
      <c r="AL32" s="548" t="e">
        <f t="shared" si="10"/>
        <v>#REF!</v>
      </c>
      <c r="AM32" s="548" t="e">
        <f t="shared" si="10"/>
        <v>#REF!</v>
      </c>
      <c r="AN32" s="548" t="e">
        <f t="shared" si="10"/>
        <v>#REF!</v>
      </c>
      <c r="AO32" s="548" t="e">
        <f t="shared" si="10"/>
        <v>#REF!</v>
      </c>
      <c r="AP32" s="548" t="e">
        <f t="shared" si="10"/>
        <v>#REF!</v>
      </c>
      <c r="AQ32" s="548" t="e">
        <f t="shared" si="10"/>
        <v>#REF!</v>
      </c>
      <c r="AR32" s="548" t="e">
        <f t="shared" si="10"/>
        <v>#REF!</v>
      </c>
      <c r="AS32" s="548" t="e">
        <f t="shared" si="10"/>
        <v>#REF!</v>
      </c>
      <c r="AT32" s="548" t="e">
        <f t="shared" si="10"/>
        <v>#REF!</v>
      </c>
      <c r="AU32" s="549" t="e">
        <f t="shared" si="10"/>
        <v>#REF!</v>
      </c>
      <c r="AV32" s="392"/>
      <c r="AW32" s="547" t="e">
        <f t="shared" ref="AW32:BQ32" si="11">AW31*$H$12*$L$12</f>
        <v>#REF!</v>
      </c>
      <c r="AX32" s="548" t="e">
        <f t="shared" si="11"/>
        <v>#REF!</v>
      </c>
      <c r="AY32" s="548" t="e">
        <f t="shared" si="11"/>
        <v>#REF!</v>
      </c>
      <c r="AZ32" s="548" t="e">
        <f t="shared" si="11"/>
        <v>#REF!</v>
      </c>
      <c r="BA32" s="548" t="e">
        <f t="shared" si="11"/>
        <v>#REF!</v>
      </c>
      <c r="BB32" s="548" t="e">
        <f t="shared" si="11"/>
        <v>#REF!</v>
      </c>
      <c r="BC32" s="548" t="e">
        <f t="shared" si="11"/>
        <v>#REF!</v>
      </c>
      <c r="BD32" s="548" t="e">
        <f t="shared" si="11"/>
        <v>#REF!</v>
      </c>
      <c r="BE32" s="548" t="e">
        <f t="shared" si="11"/>
        <v>#REF!</v>
      </c>
      <c r="BF32" s="548" t="e">
        <f t="shared" si="11"/>
        <v>#REF!</v>
      </c>
      <c r="BG32" s="548" t="e">
        <f t="shared" si="11"/>
        <v>#REF!</v>
      </c>
      <c r="BH32" s="548" t="e">
        <f t="shared" si="11"/>
        <v>#REF!</v>
      </c>
      <c r="BI32" s="548" t="e">
        <f t="shared" si="11"/>
        <v>#REF!</v>
      </c>
      <c r="BJ32" s="548" t="e">
        <f t="shared" si="11"/>
        <v>#REF!</v>
      </c>
      <c r="BK32" s="548" t="e">
        <f t="shared" si="11"/>
        <v>#REF!</v>
      </c>
      <c r="BL32" s="548" t="e">
        <f t="shared" si="11"/>
        <v>#REF!</v>
      </c>
      <c r="BM32" s="548" t="e">
        <f t="shared" si="11"/>
        <v>#REF!</v>
      </c>
      <c r="BN32" s="548" t="e">
        <f t="shared" si="11"/>
        <v>#REF!</v>
      </c>
      <c r="BO32" s="548" t="e">
        <f t="shared" si="11"/>
        <v>#REF!</v>
      </c>
      <c r="BP32" s="548" t="e">
        <f t="shared" si="11"/>
        <v>#REF!</v>
      </c>
      <c r="BQ32" s="549" t="e">
        <f t="shared" si="11"/>
        <v>#REF!</v>
      </c>
    </row>
    <row r="33" spans="2:69" s="391" customFormat="1" x14ac:dyDescent="0.25">
      <c r="B33" s="521"/>
      <c r="C33" s="392"/>
      <c r="D33" s="540"/>
      <c r="E33" s="547"/>
      <c r="F33" s="548"/>
      <c r="G33" s="548"/>
      <c r="H33" s="548"/>
      <c r="I33" s="548"/>
      <c r="J33" s="548"/>
      <c r="K33" s="548"/>
      <c r="L33" s="548"/>
      <c r="M33" s="548"/>
      <c r="N33" s="548"/>
      <c r="O33" s="548"/>
      <c r="P33" s="548"/>
      <c r="Q33" s="548"/>
      <c r="R33" s="548"/>
      <c r="S33" s="548"/>
      <c r="T33" s="548"/>
      <c r="U33" s="548"/>
      <c r="V33" s="548"/>
      <c r="W33" s="548"/>
      <c r="X33" s="548"/>
      <c r="Y33" s="549"/>
      <c r="Z33" s="550"/>
      <c r="AA33" s="547"/>
      <c r="AB33" s="548"/>
      <c r="AC33" s="392"/>
      <c r="AD33" s="392"/>
      <c r="AE33" s="392"/>
      <c r="AF33" s="392"/>
      <c r="AG33" s="392"/>
      <c r="AH33" s="392"/>
      <c r="AI33" s="392"/>
      <c r="AJ33" s="392"/>
      <c r="AK33" s="392"/>
      <c r="AL33" s="392"/>
      <c r="AM33" s="392"/>
      <c r="AN33" s="392"/>
      <c r="AO33" s="392"/>
      <c r="AP33" s="392"/>
      <c r="AQ33" s="392"/>
      <c r="AR33" s="392"/>
      <c r="AS33" s="392"/>
      <c r="AT33" s="392"/>
      <c r="AU33" s="540"/>
      <c r="AV33" s="392"/>
      <c r="AW33" s="521"/>
      <c r="AX33" s="392"/>
      <c r="AY33" s="392"/>
      <c r="AZ33" s="392"/>
      <c r="BA33" s="392"/>
      <c r="BB33" s="392"/>
      <c r="BC33" s="392"/>
      <c r="BD33" s="392"/>
      <c r="BE33" s="392"/>
      <c r="BF33" s="392"/>
      <c r="BG33" s="392"/>
      <c r="BH33" s="392"/>
      <c r="BI33" s="392"/>
      <c r="BJ33" s="392"/>
      <c r="BK33" s="392"/>
      <c r="BL33" s="392"/>
      <c r="BM33" s="392"/>
      <c r="BN33" s="392"/>
      <c r="BO33" s="392"/>
      <c r="BP33" s="392"/>
      <c r="BQ33" s="540"/>
    </row>
    <row r="34" spans="2:69" s="391" customFormat="1" ht="25.5" customHeight="1" x14ac:dyDescent="0.25">
      <c r="B34" s="687" t="s">
        <v>385</v>
      </c>
      <c r="C34" s="392"/>
      <c r="D34" s="540"/>
      <c r="E34" s="673" t="e">
        <f>E19+E23+E27+E31</f>
        <v>#REF!</v>
      </c>
      <c r="F34" s="557" t="e">
        <f t="shared" ref="F34:Y34" si="12">F19+F23+F27+F31</f>
        <v>#REF!</v>
      </c>
      <c r="G34" s="557" t="e">
        <f t="shared" si="12"/>
        <v>#REF!</v>
      </c>
      <c r="H34" s="557" t="e">
        <f t="shared" si="12"/>
        <v>#REF!</v>
      </c>
      <c r="I34" s="557" t="e">
        <f t="shared" si="12"/>
        <v>#REF!</v>
      </c>
      <c r="J34" s="557" t="e">
        <f t="shared" si="12"/>
        <v>#REF!</v>
      </c>
      <c r="K34" s="557" t="e">
        <f t="shared" si="12"/>
        <v>#REF!</v>
      </c>
      <c r="L34" s="557" t="e">
        <f t="shared" si="12"/>
        <v>#REF!</v>
      </c>
      <c r="M34" s="557" t="e">
        <f t="shared" si="12"/>
        <v>#REF!</v>
      </c>
      <c r="N34" s="557" t="e">
        <f t="shared" si="12"/>
        <v>#REF!</v>
      </c>
      <c r="O34" s="557" t="e">
        <f t="shared" si="12"/>
        <v>#REF!</v>
      </c>
      <c r="P34" s="557" t="e">
        <f t="shared" si="12"/>
        <v>#REF!</v>
      </c>
      <c r="Q34" s="557" t="e">
        <f t="shared" si="12"/>
        <v>#REF!</v>
      </c>
      <c r="R34" s="557" t="e">
        <f t="shared" si="12"/>
        <v>#REF!</v>
      </c>
      <c r="S34" s="557" t="e">
        <f t="shared" si="12"/>
        <v>#REF!</v>
      </c>
      <c r="T34" s="557" t="e">
        <f t="shared" si="12"/>
        <v>#REF!</v>
      </c>
      <c r="U34" s="557" t="e">
        <f t="shared" si="12"/>
        <v>#REF!</v>
      </c>
      <c r="V34" s="557" t="e">
        <f t="shared" si="12"/>
        <v>#REF!</v>
      </c>
      <c r="W34" s="557" t="e">
        <f t="shared" si="12"/>
        <v>#REF!</v>
      </c>
      <c r="X34" s="557" t="e">
        <f t="shared" si="12"/>
        <v>#REF!</v>
      </c>
      <c r="Y34" s="674" t="e">
        <f t="shared" si="12"/>
        <v>#REF!</v>
      </c>
      <c r="Z34" s="550"/>
      <c r="AA34" s="673" t="e">
        <f>AA19+AA23+AA27+AA31</f>
        <v>#REF!</v>
      </c>
      <c r="AB34" s="557" t="e">
        <f t="shared" ref="AB34:AU34" si="13">AB19+AB23+AB27+AB31</f>
        <v>#REF!</v>
      </c>
      <c r="AC34" s="557" t="e">
        <f t="shared" si="13"/>
        <v>#REF!</v>
      </c>
      <c r="AD34" s="557" t="e">
        <f t="shared" si="13"/>
        <v>#REF!</v>
      </c>
      <c r="AE34" s="557" t="e">
        <f t="shared" si="13"/>
        <v>#REF!</v>
      </c>
      <c r="AF34" s="557" t="e">
        <f t="shared" si="13"/>
        <v>#REF!</v>
      </c>
      <c r="AG34" s="557" t="e">
        <f t="shared" si="13"/>
        <v>#REF!</v>
      </c>
      <c r="AH34" s="557" t="e">
        <f t="shared" si="13"/>
        <v>#REF!</v>
      </c>
      <c r="AI34" s="557" t="e">
        <f t="shared" si="13"/>
        <v>#REF!</v>
      </c>
      <c r="AJ34" s="557" t="e">
        <f t="shared" si="13"/>
        <v>#REF!</v>
      </c>
      <c r="AK34" s="557" t="e">
        <f t="shared" si="13"/>
        <v>#REF!</v>
      </c>
      <c r="AL34" s="557" t="e">
        <f t="shared" si="13"/>
        <v>#REF!</v>
      </c>
      <c r="AM34" s="557" t="e">
        <f t="shared" si="13"/>
        <v>#REF!</v>
      </c>
      <c r="AN34" s="557" t="e">
        <f t="shared" si="13"/>
        <v>#REF!</v>
      </c>
      <c r="AO34" s="557" t="e">
        <f t="shared" si="13"/>
        <v>#REF!</v>
      </c>
      <c r="AP34" s="557" t="e">
        <f t="shared" si="13"/>
        <v>#REF!</v>
      </c>
      <c r="AQ34" s="557" t="e">
        <f t="shared" si="13"/>
        <v>#REF!</v>
      </c>
      <c r="AR34" s="557" t="e">
        <f t="shared" si="13"/>
        <v>#REF!</v>
      </c>
      <c r="AS34" s="557" t="e">
        <f t="shared" si="13"/>
        <v>#REF!</v>
      </c>
      <c r="AT34" s="557" t="e">
        <f t="shared" si="13"/>
        <v>#REF!</v>
      </c>
      <c r="AU34" s="674" t="e">
        <f t="shared" si="13"/>
        <v>#REF!</v>
      </c>
      <c r="AV34" s="392"/>
      <c r="AW34" s="673" t="e">
        <f>AW19+AW23+AW27+AW31</f>
        <v>#REF!</v>
      </c>
      <c r="AX34" s="557" t="e">
        <f t="shared" ref="AX34:BQ34" si="14">AX19+AX23+AX27+AX31</f>
        <v>#REF!</v>
      </c>
      <c r="AY34" s="557" t="e">
        <f t="shared" si="14"/>
        <v>#REF!</v>
      </c>
      <c r="AZ34" s="557" t="e">
        <f t="shared" si="14"/>
        <v>#REF!</v>
      </c>
      <c r="BA34" s="557" t="e">
        <f t="shared" si="14"/>
        <v>#REF!</v>
      </c>
      <c r="BB34" s="557" t="e">
        <f t="shared" si="14"/>
        <v>#REF!</v>
      </c>
      <c r="BC34" s="557" t="e">
        <f t="shared" si="14"/>
        <v>#REF!</v>
      </c>
      <c r="BD34" s="557" t="e">
        <f t="shared" si="14"/>
        <v>#REF!</v>
      </c>
      <c r="BE34" s="557" t="e">
        <f t="shared" si="14"/>
        <v>#REF!</v>
      </c>
      <c r="BF34" s="557" t="e">
        <f t="shared" si="14"/>
        <v>#REF!</v>
      </c>
      <c r="BG34" s="557" t="e">
        <f t="shared" si="14"/>
        <v>#REF!</v>
      </c>
      <c r="BH34" s="557" t="e">
        <f t="shared" si="14"/>
        <v>#REF!</v>
      </c>
      <c r="BI34" s="557" t="e">
        <f t="shared" si="14"/>
        <v>#REF!</v>
      </c>
      <c r="BJ34" s="557" t="e">
        <f t="shared" si="14"/>
        <v>#REF!</v>
      </c>
      <c r="BK34" s="557" t="e">
        <f t="shared" si="14"/>
        <v>#REF!</v>
      </c>
      <c r="BL34" s="557" t="e">
        <f t="shared" si="14"/>
        <v>#REF!</v>
      </c>
      <c r="BM34" s="557" t="e">
        <f t="shared" si="14"/>
        <v>#REF!</v>
      </c>
      <c r="BN34" s="557" t="e">
        <f t="shared" si="14"/>
        <v>#REF!</v>
      </c>
      <c r="BO34" s="557" t="e">
        <f t="shared" si="14"/>
        <v>#REF!</v>
      </c>
      <c r="BP34" s="557" t="e">
        <f t="shared" si="14"/>
        <v>#REF!</v>
      </c>
      <c r="BQ34" s="674" t="e">
        <f t="shared" si="14"/>
        <v>#REF!</v>
      </c>
    </row>
    <row r="35" spans="2:69" s="391" customFormat="1" ht="24" thickBot="1" x14ac:dyDescent="0.3">
      <c r="B35" s="651" t="s">
        <v>364</v>
      </c>
      <c r="C35" s="551" t="s">
        <v>361</v>
      </c>
      <c r="D35" s="552"/>
      <c r="E35" s="553" t="e">
        <f>E20+E24+E28+E32</f>
        <v>#REF!</v>
      </c>
      <c r="F35" s="554" t="e">
        <f t="shared" ref="F35:Y35" si="15">F20+F24+F28+F32</f>
        <v>#REF!</v>
      </c>
      <c r="G35" s="554" t="e">
        <f t="shared" si="15"/>
        <v>#REF!</v>
      </c>
      <c r="H35" s="554" t="e">
        <f t="shared" si="15"/>
        <v>#REF!</v>
      </c>
      <c r="I35" s="554" t="e">
        <f t="shared" si="15"/>
        <v>#REF!</v>
      </c>
      <c r="J35" s="554" t="e">
        <f t="shared" si="15"/>
        <v>#REF!</v>
      </c>
      <c r="K35" s="554" t="e">
        <f t="shared" si="15"/>
        <v>#REF!</v>
      </c>
      <c r="L35" s="554" t="e">
        <f t="shared" si="15"/>
        <v>#REF!</v>
      </c>
      <c r="M35" s="554" t="e">
        <f t="shared" si="15"/>
        <v>#REF!</v>
      </c>
      <c r="N35" s="554" t="e">
        <f t="shared" si="15"/>
        <v>#REF!</v>
      </c>
      <c r="O35" s="554" t="e">
        <f t="shared" si="15"/>
        <v>#REF!</v>
      </c>
      <c r="P35" s="554" t="e">
        <f t="shared" si="15"/>
        <v>#REF!</v>
      </c>
      <c r="Q35" s="554" t="e">
        <f t="shared" si="15"/>
        <v>#REF!</v>
      </c>
      <c r="R35" s="554" t="e">
        <f t="shared" si="15"/>
        <v>#REF!</v>
      </c>
      <c r="S35" s="554" t="e">
        <f t="shared" si="15"/>
        <v>#REF!</v>
      </c>
      <c r="T35" s="554" t="e">
        <f t="shared" si="15"/>
        <v>#REF!</v>
      </c>
      <c r="U35" s="554" t="e">
        <f t="shared" si="15"/>
        <v>#REF!</v>
      </c>
      <c r="V35" s="554" t="e">
        <f t="shared" si="15"/>
        <v>#REF!</v>
      </c>
      <c r="W35" s="554" t="e">
        <f t="shared" si="15"/>
        <v>#REF!</v>
      </c>
      <c r="X35" s="554" t="e">
        <f t="shared" si="15"/>
        <v>#REF!</v>
      </c>
      <c r="Y35" s="555" t="e">
        <f t="shared" si="15"/>
        <v>#REF!</v>
      </c>
      <c r="Z35" s="556"/>
      <c r="AA35" s="553" t="e">
        <f>AA20+AA24+AA28+AA32</f>
        <v>#REF!</v>
      </c>
      <c r="AB35" s="554" t="e">
        <f t="shared" ref="AB35:AU35" si="16">AB20+AB24+AB28+AB32</f>
        <v>#REF!</v>
      </c>
      <c r="AC35" s="554" t="e">
        <f t="shared" si="16"/>
        <v>#REF!</v>
      </c>
      <c r="AD35" s="554" t="e">
        <f t="shared" si="16"/>
        <v>#REF!</v>
      </c>
      <c r="AE35" s="554" t="e">
        <f t="shared" si="16"/>
        <v>#REF!</v>
      </c>
      <c r="AF35" s="554" t="e">
        <f t="shared" si="16"/>
        <v>#REF!</v>
      </c>
      <c r="AG35" s="554" t="e">
        <f t="shared" si="16"/>
        <v>#REF!</v>
      </c>
      <c r="AH35" s="554" t="e">
        <f t="shared" si="16"/>
        <v>#REF!</v>
      </c>
      <c r="AI35" s="554" t="e">
        <f t="shared" si="16"/>
        <v>#REF!</v>
      </c>
      <c r="AJ35" s="554" t="e">
        <f t="shared" si="16"/>
        <v>#REF!</v>
      </c>
      <c r="AK35" s="554" t="e">
        <f t="shared" si="16"/>
        <v>#REF!</v>
      </c>
      <c r="AL35" s="554" t="e">
        <f t="shared" si="16"/>
        <v>#REF!</v>
      </c>
      <c r="AM35" s="554" t="e">
        <f t="shared" si="16"/>
        <v>#REF!</v>
      </c>
      <c r="AN35" s="554" t="e">
        <f t="shared" si="16"/>
        <v>#REF!</v>
      </c>
      <c r="AO35" s="554" t="e">
        <f t="shared" si="16"/>
        <v>#REF!</v>
      </c>
      <c r="AP35" s="554" t="e">
        <f t="shared" si="16"/>
        <v>#REF!</v>
      </c>
      <c r="AQ35" s="554" t="e">
        <f t="shared" si="16"/>
        <v>#REF!</v>
      </c>
      <c r="AR35" s="554" t="e">
        <f t="shared" si="16"/>
        <v>#REF!</v>
      </c>
      <c r="AS35" s="554" t="e">
        <f t="shared" si="16"/>
        <v>#REF!</v>
      </c>
      <c r="AT35" s="554" t="e">
        <f t="shared" si="16"/>
        <v>#REF!</v>
      </c>
      <c r="AU35" s="555" t="e">
        <f t="shared" si="16"/>
        <v>#REF!</v>
      </c>
      <c r="AV35" s="557"/>
      <c r="AW35" s="553" t="e">
        <f>AW20+AW24+AW28+AW32</f>
        <v>#REF!</v>
      </c>
      <c r="AX35" s="554" t="e">
        <f t="shared" ref="AX35:BQ35" si="17">AX20+AX24+AX28+AX32</f>
        <v>#REF!</v>
      </c>
      <c r="AY35" s="554" t="e">
        <f t="shared" si="17"/>
        <v>#REF!</v>
      </c>
      <c r="AZ35" s="554" t="e">
        <f t="shared" si="17"/>
        <v>#REF!</v>
      </c>
      <c r="BA35" s="554" t="e">
        <f t="shared" si="17"/>
        <v>#REF!</v>
      </c>
      <c r="BB35" s="554" t="e">
        <f t="shared" si="17"/>
        <v>#REF!</v>
      </c>
      <c r="BC35" s="554" t="e">
        <f t="shared" si="17"/>
        <v>#REF!</v>
      </c>
      <c r="BD35" s="554" t="e">
        <f t="shared" si="17"/>
        <v>#REF!</v>
      </c>
      <c r="BE35" s="554" t="e">
        <f t="shared" si="17"/>
        <v>#REF!</v>
      </c>
      <c r="BF35" s="554" t="e">
        <f t="shared" si="17"/>
        <v>#REF!</v>
      </c>
      <c r="BG35" s="554" t="e">
        <f t="shared" si="17"/>
        <v>#REF!</v>
      </c>
      <c r="BH35" s="554" t="e">
        <f t="shared" si="17"/>
        <v>#REF!</v>
      </c>
      <c r="BI35" s="554" t="e">
        <f t="shared" si="17"/>
        <v>#REF!</v>
      </c>
      <c r="BJ35" s="554" t="e">
        <f t="shared" si="17"/>
        <v>#REF!</v>
      </c>
      <c r="BK35" s="554" t="e">
        <f t="shared" si="17"/>
        <v>#REF!</v>
      </c>
      <c r="BL35" s="554" t="e">
        <f t="shared" si="17"/>
        <v>#REF!</v>
      </c>
      <c r="BM35" s="554" t="e">
        <f t="shared" si="17"/>
        <v>#REF!</v>
      </c>
      <c r="BN35" s="554" t="e">
        <f t="shared" si="17"/>
        <v>#REF!</v>
      </c>
      <c r="BO35" s="554" t="e">
        <f t="shared" si="17"/>
        <v>#REF!</v>
      </c>
      <c r="BP35" s="554" t="e">
        <f t="shared" si="17"/>
        <v>#REF!</v>
      </c>
      <c r="BQ35" s="555" t="e">
        <f t="shared" si="17"/>
        <v>#REF!</v>
      </c>
    </row>
    <row r="36" spans="2:69" s="391" customFormat="1" ht="13.5" thickBot="1" x14ac:dyDescent="0.3">
      <c r="B36" s="392"/>
      <c r="C36" s="392"/>
      <c r="D36" s="392"/>
      <c r="E36" s="392"/>
      <c r="F36" s="548"/>
      <c r="G36" s="548"/>
      <c r="H36" s="548"/>
      <c r="I36" s="548"/>
      <c r="J36" s="548"/>
      <c r="K36" s="548"/>
      <c r="L36" s="548"/>
      <c r="M36" s="548"/>
      <c r="N36" s="548"/>
      <c r="O36" s="548"/>
      <c r="P36" s="548"/>
      <c r="Q36" s="548"/>
      <c r="R36" s="548"/>
      <c r="S36" s="548"/>
      <c r="T36" s="548"/>
      <c r="U36" s="548"/>
      <c r="V36" s="548"/>
      <c r="W36" s="548"/>
      <c r="X36" s="548"/>
      <c r="Y36" s="548"/>
      <c r="Z36" s="550"/>
      <c r="AA36" s="548"/>
      <c r="AB36" s="548"/>
      <c r="AC36" s="392"/>
      <c r="AD36" s="392"/>
      <c r="AE36" s="392"/>
      <c r="AF36" s="392"/>
      <c r="AG36" s="392"/>
      <c r="AH36" s="392"/>
      <c r="AI36" s="392"/>
      <c r="AJ36" s="392"/>
      <c r="AK36" s="392"/>
      <c r="AL36" s="392"/>
      <c r="AM36" s="392"/>
      <c r="AN36" s="392"/>
      <c r="AO36" s="392"/>
      <c r="AP36" s="392"/>
      <c r="AQ36" s="392"/>
      <c r="AR36" s="392"/>
      <c r="AS36" s="392"/>
      <c r="AT36" s="392"/>
      <c r="AU36" s="392"/>
      <c r="AV36" s="392"/>
      <c r="AW36" s="392"/>
      <c r="AX36" s="392"/>
      <c r="AY36" s="392"/>
      <c r="AZ36" s="392"/>
      <c r="BA36" s="392"/>
      <c r="BB36" s="392"/>
      <c r="BC36" s="392"/>
      <c r="BD36" s="392"/>
      <c r="BE36" s="392"/>
      <c r="BF36" s="392"/>
      <c r="BG36" s="392"/>
      <c r="BH36" s="392"/>
      <c r="BI36" s="392"/>
      <c r="BJ36" s="392"/>
      <c r="BK36" s="392"/>
      <c r="BL36" s="392"/>
      <c r="BM36" s="392"/>
      <c r="BN36" s="392"/>
      <c r="BO36" s="392"/>
      <c r="BP36" s="392"/>
      <c r="BQ36" s="392"/>
    </row>
    <row r="37" spans="2:69" s="391" customFormat="1" x14ac:dyDescent="0.25">
      <c r="B37" s="536"/>
      <c r="C37" s="537"/>
      <c r="D37" s="537"/>
      <c r="E37" s="536"/>
      <c r="F37" s="537"/>
      <c r="G37" s="537"/>
      <c r="H37" s="537"/>
      <c r="I37" s="537"/>
      <c r="J37" s="537"/>
      <c r="K37" s="537"/>
      <c r="L37" s="537"/>
      <c r="M37" s="537"/>
      <c r="N37" s="537"/>
      <c r="O37" s="537"/>
      <c r="P37" s="537"/>
      <c r="Q37" s="537"/>
      <c r="R37" s="537"/>
      <c r="S37" s="537"/>
      <c r="T37" s="537"/>
      <c r="U37" s="537"/>
      <c r="V37" s="537"/>
      <c r="W37" s="537"/>
      <c r="X37" s="537"/>
      <c r="Y37" s="538"/>
    </row>
    <row r="38" spans="2:69" s="391" customFormat="1" ht="21" x14ac:dyDescent="0.25">
      <c r="B38" s="521"/>
      <c r="C38" s="392"/>
      <c r="D38" s="392"/>
      <c r="E38" s="1311" t="s">
        <v>362</v>
      </c>
      <c r="F38" s="1312"/>
      <c r="G38" s="1312"/>
      <c r="H38" s="1312"/>
      <c r="I38" s="1312"/>
      <c r="J38" s="1312"/>
      <c r="K38" s="1312"/>
      <c r="L38" s="1312"/>
      <c r="M38" s="1312"/>
      <c r="N38" s="1312"/>
      <c r="O38" s="1312"/>
      <c r="P38" s="1312"/>
      <c r="Q38" s="1312"/>
      <c r="R38" s="1312"/>
      <c r="S38" s="1312"/>
      <c r="T38" s="1312"/>
      <c r="U38" s="1312"/>
      <c r="V38" s="1312"/>
      <c r="W38" s="1312"/>
      <c r="X38" s="1312"/>
      <c r="Y38" s="1313"/>
    </row>
    <row r="39" spans="2:69" s="391" customFormat="1" x14ac:dyDescent="0.25">
      <c r="B39" s="521"/>
      <c r="C39" s="392"/>
      <c r="D39" s="392"/>
      <c r="E39" s="541">
        <v>2025</v>
      </c>
      <c r="F39" s="541">
        <v>2026</v>
      </c>
      <c r="G39" s="541">
        <v>2027</v>
      </c>
      <c r="H39" s="541">
        <v>2028</v>
      </c>
      <c r="I39" s="541">
        <v>2029</v>
      </c>
      <c r="J39" s="541">
        <v>2030</v>
      </c>
      <c r="K39" s="541">
        <v>2031</v>
      </c>
      <c r="L39" s="541">
        <v>2032</v>
      </c>
      <c r="M39" s="541">
        <v>2033</v>
      </c>
      <c r="N39" s="541">
        <v>2034</v>
      </c>
      <c r="O39" s="541">
        <v>2035</v>
      </c>
      <c r="P39" s="541">
        <v>2036</v>
      </c>
      <c r="Q39" s="541">
        <v>2037</v>
      </c>
      <c r="R39" s="541">
        <v>2038</v>
      </c>
      <c r="S39" s="541">
        <v>2039</v>
      </c>
      <c r="T39" s="541">
        <v>2040</v>
      </c>
      <c r="U39" s="541">
        <v>2041</v>
      </c>
      <c r="V39" s="541">
        <v>2042</v>
      </c>
      <c r="W39" s="541">
        <v>2043</v>
      </c>
      <c r="X39" s="541">
        <v>2044</v>
      </c>
      <c r="Y39" s="541">
        <v>2045</v>
      </c>
    </row>
    <row r="40" spans="2:69" s="391" customFormat="1" ht="23.25" x14ac:dyDescent="0.25">
      <c r="B40" s="650" t="s">
        <v>388</v>
      </c>
      <c r="C40" s="392"/>
      <c r="D40" s="392"/>
      <c r="E40" s="547" t="e">
        <f>E34+AA34+AW34</f>
        <v>#REF!</v>
      </c>
      <c r="F40" s="548" t="e">
        <f t="shared" ref="F40:Y40" si="18">F34+AB34+AX34</f>
        <v>#REF!</v>
      </c>
      <c r="G40" s="548" t="e">
        <f t="shared" si="18"/>
        <v>#REF!</v>
      </c>
      <c r="H40" s="548" t="e">
        <f t="shared" si="18"/>
        <v>#REF!</v>
      </c>
      <c r="I40" s="548" t="e">
        <f t="shared" si="18"/>
        <v>#REF!</v>
      </c>
      <c r="J40" s="548" t="e">
        <f t="shared" si="18"/>
        <v>#REF!</v>
      </c>
      <c r="K40" s="548" t="e">
        <f t="shared" si="18"/>
        <v>#REF!</v>
      </c>
      <c r="L40" s="548" t="e">
        <f t="shared" si="18"/>
        <v>#REF!</v>
      </c>
      <c r="M40" s="548" t="e">
        <f t="shared" si="18"/>
        <v>#REF!</v>
      </c>
      <c r="N40" s="548" t="e">
        <f t="shared" si="18"/>
        <v>#REF!</v>
      </c>
      <c r="O40" s="548" t="e">
        <f t="shared" si="18"/>
        <v>#REF!</v>
      </c>
      <c r="P40" s="548" t="e">
        <f t="shared" si="18"/>
        <v>#REF!</v>
      </c>
      <c r="Q40" s="548" t="e">
        <f t="shared" si="18"/>
        <v>#REF!</v>
      </c>
      <c r="R40" s="548" t="e">
        <f t="shared" si="18"/>
        <v>#REF!</v>
      </c>
      <c r="S40" s="548" t="e">
        <f t="shared" si="18"/>
        <v>#REF!</v>
      </c>
      <c r="T40" s="548" t="e">
        <f t="shared" si="18"/>
        <v>#REF!</v>
      </c>
      <c r="U40" s="548" t="e">
        <f t="shared" si="18"/>
        <v>#REF!</v>
      </c>
      <c r="V40" s="548" t="e">
        <f t="shared" si="18"/>
        <v>#REF!</v>
      </c>
      <c r="W40" s="548" t="e">
        <f t="shared" si="18"/>
        <v>#REF!</v>
      </c>
      <c r="X40" s="548" t="e">
        <f t="shared" si="18"/>
        <v>#REF!</v>
      </c>
      <c r="Y40" s="549" t="e">
        <f t="shared" si="18"/>
        <v>#REF!</v>
      </c>
    </row>
    <row r="41" spans="2:69" s="391" customFormat="1" ht="21" customHeight="1" x14ac:dyDescent="0.25">
      <c r="B41" s="563" t="s">
        <v>365</v>
      </c>
      <c r="C41" s="528"/>
      <c r="D41" s="528"/>
      <c r="E41" s="547" t="e">
        <f>E35+AA35+AW35</f>
        <v>#REF!</v>
      </c>
      <c r="F41" s="548" t="e">
        <f t="shared" ref="F41:Y41" si="19">F35+AB35+AX35</f>
        <v>#REF!</v>
      </c>
      <c r="G41" s="548" t="e">
        <f t="shared" si="19"/>
        <v>#REF!</v>
      </c>
      <c r="H41" s="548" t="e">
        <f t="shared" si="19"/>
        <v>#REF!</v>
      </c>
      <c r="I41" s="548" t="e">
        <f t="shared" si="19"/>
        <v>#REF!</v>
      </c>
      <c r="J41" s="548" t="e">
        <f t="shared" si="19"/>
        <v>#REF!</v>
      </c>
      <c r="K41" s="548" t="e">
        <f t="shared" si="19"/>
        <v>#REF!</v>
      </c>
      <c r="L41" s="548" t="e">
        <f t="shared" si="19"/>
        <v>#REF!</v>
      </c>
      <c r="M41" s="548" t="e">
        <f t="shared" si="19"/>
        <v>#REF!</v>
      </c>
      <c r="N41" s="548" t="e">
        <f t="shared" si="19"/>
        <v>#REF!</v>
      </c>
      <c r="O41" s="548" t="e">
        <f t="shared" si="19"/>
        <v>#REF!</v>
      </c>
      <c r="P41" s="548" t="e">
        <f t="shared" si="19"/>
        <v>#REF!</v>
      </c>
      <c r="Q41" s="548" t="e">
        <f t="shared" si="19"/>
        <v>#REF!</v>
      </c>
      <c r="R41" s="548" t="e">
        <f t="shared" si="19"/>
        <v>#REF!</v>
      </c>
      <c r="S41" s="548" t="e">
        <f t="shared" si="19"/>
        <v>#REF!</v>
      </c>
      <c r="T41" s="548" t="e">
        <f t="shared" si="19"/>
        <v>#REF!</v>
      </c>
      <c r="U41" s="548" t="e">
        <f t="shared" si="19"/>
        <v>#REF!</v>
      </c>
      <c r="V41" s="548" t="e">
        <f t="shared" si="19"/>
        <v>#REF!</v>
      </c>
      <c r="W41" s="548" t="e">
        <f t="shared" si="19"/>
        <v>#REF!</v>
      </c>
      <c r="X41" s="548" t="e">
        <f t="shared" si="19"/>
        <v>#REF!</v>
      </c>
      <c r="Y41" s="549" t="e">
        <f t="shared" si="19"/>
        <v>#REF!</v>
      </c>
    </row>
    <row r="42" spans="2:69" s="391" customFormat="1" ht="21" customHeight="1" thickBot="1" x14ac:dyDescent="0.3">
      <c r="B42" s="558"/>
      <c r="C42" s="559"/>
      <c r="D42" s="559"/>
      <c r="E42" s="649"/>
      <c r="F42" s="559"/>
      <c r="G42" s="559"/>
      <c r="H42" s="559"/>
      <c r="I42" s="559"/>
      <c r="J42" s="559"/>
      <c r="K42" s="559"/>
      <c r="L42" s="559"/>
      <c r="M42" s="559"/>
      <c r="N42" s="559"/>
      <c r="O42" s="559"/>
      <c r="P42" s="559"/>
      <c r="Q42" s="559"/>
      <c r="R42" s="559"/>
      <c r="S42" s="559"/>
      <c r="T42" s="559"/>
      <c r="U42" s="559"/>
      <c r="V42" s="559"/>
      <c r="W42" s="560"/>
      <c r="X42" s="560"/>
      <c r="Y42" s="552"/>
    </row>
    <row r="43" spans="2:69" s="391" customFormat="1" ht="21" customHeight="1" x14ac:dyDescent="0.25">
      <c r="B43" s="561" t="s">
        <v>389</v>
      </c>
      <c r="C43" s="562"/>
      <c r="D43" s="562"/>
      <c r="E43" s="562"/>
      <c r="F43" s="562"/>
      <c r="G43" s="562"/>
      <c r="H43" s="562"/>
      <c r="I43" s="562"/>
      <c r="J43" s="562"/>
      <c r="K43" s="562"/>
      <c r="L43" s="562"/>
      <c r="M43" s="562"/>
      <c r="N43" s="562"/>
      <c r="O43" s="562"/>
      <c r="P43" s="562"/>
      <c r="Q43" s="562"/>
      <c r="R43" s="562"/>
      <c r="S43" s="562"/>
      <c r="T43" s="562"/>
      <c r="U43" s="562"/>
      <c r="V43" s="562"/>
    </row>
    <row r="44" spans="2:69" s="391" customFormat="1" x14ac:dyDescent="0.25">
      <c r="B44" s="392"/>
      <c r="C44" s="392"/>
      <c r="D44" s="392"/>
      <c r="E44" s="548" t="e">
        <f>SUM(E40:Y40)</f>
        <v>#REF!</v>
      </c>
      <c r="F44" s="392"/>
      <c r="G44" s="392"/>
      <c r="H44" s="392"/>
      <c r="I44" s="392"/>
      <c r="J44" s="392"/>
      <c r="K44" s="392"/>
      <c r="L44" s="392"/>
      <c r="M44" s="392"/>
      <c r="N44" s="392"/>
      <c r="O44" s="392"/>
      <c r="P44" s="392"/>
      <c r="Q44" s="392"/>
      <c r="R44" s="392"/>
      <c r="S44" s="392"/>
      <c r="T44" s="392"/>
      <c r="U44" s="392"/>
      <c r="V44" s="392"/>
    </row>
    <row r="45" spans="2:69" s="391" customFormat="1" x14ac:dyDescent="0.25">
      <c r="B45" s="392"/>
      <c r="C45" s="392"/>
      <c r="D45" s="392"/>
      <c r="E45" s="548" t="e">
        <f>SUM(E41:Y41)</f>
        <v>#REF!</v>
      </c>
      <c r="F45" s="392"/>
      <c r="G45" s="392"/>
      <c r="H45" s="392"/>
      <c r="I45" s="392"/>
      <c r="J45" s="392"/>
      <c r="K45" s="392"/>
      <c r="L45" s="392"/>
      <c r="M45" s="392"/>
      <c r="N45" s="392"/>
      <c r="O45" s="392"/>
      <c r="P45" s="392"/>
      <c r="Q45" s="392"/>
      <c r="R45" s="392"/>
      <c r="S45" s="392"/>
      <c r="T45" s="392"/>
      <c r="U45" s="392"/>
      <c r="V45" s="392"/>
    </row>
    <row r="46" spans="2:69" s="391" customFormat="1" x14ac:dyDescent="0.25">
      <c r="B46" s="392"/>
      <c r="C46" s="392"/>
      <c r="D46" s="392"/>
      <c r="E46" s="548"/>
      <c r="F46" s="392"/>
      <c r="G46" s="392"/>
      <c r="H46" s="392"/>
      <c r="I46" s="392"/>
      <c r="J46" s="392"/>
      <c r="K46" s="392"/>
      <c r="L46" s="392"/>
      <c r="M46" s="392"/>
      <c r="N46" s="392"/>
      <c r="O46" s="392"/>
      <c r="P46" s="392"/>
      <c r="Q46" s="392"/>
      <c r="R46" s="392"/>
      <c r="S46" s="392"/>
      <c r="T46" s="392"/>
      <c r="U46" s="392"/>
      <c r="V46" s="392"/>
    </row>
    <row r="47" spans="2:69" s="391" customFormat="1" x14ac:dyDescent="0.25">
      <c r="E47" s="365" t="s">
        <v>421</v>
      </c>
      <c r="P47" s="392"/>
      <c r="Q47" s="392"/>
      <c r="R47" s="392"/>
      <c r="S47" s="392"/>
      <c r="T47" s="392"/>
      <c r="U47" s="392"/>
      <c r="V47" s="392"/>
      <c r="W47" s="392"/>
      <c r="X47" s="392"/>
      <c r="Y47" s="392"/>
      <c r="Z47" s="392"/>
      <c r="AA47" s="392"/>
      <c r="AB47" s="392"/>
      <c r="AC47" s="392"/>
      <c r="AD47" s="392"/>
      <c r="AE47" s="392"/>
      <c r="AF47" s="392"/>
      <c r="AG47" s="392"/>
    </row>
    <row r="48" spans="2:69" s="391" customFormat="1" ht="15" x14ac:dyDescent="0.25">
      <c r="C48" s="676"/>
      <c r="E48" s="530" t="s">
        <v>208</v>
      </c>
      <c r="F48" s="530" t="s">
        <v>206</v>
      </c>
      <c r="G48" s="530" t="s">
        <v>204</v>
      </c>
      <c r="H48" s="530" t="s">
        <v>309</v>
      </c>
      <c r="I48" s="530" t="s">
        <v>310</v>
      </c>
      <c r="J48" s="441" t="s">
        <v>311</v>
      </c>
      <c r="K48" s="530" t="s">
        <v>312</v>
      </c>
      <c r="L48" s="530" t="s">
        <v>313</v>
      </c>
      <c r="M48" s="530" t="s">
        <v>314</v>
      </c>
      <c r="N48" s="500" t="s">
        <v>315</v>
      </c>
      <c r="O48" s="342"/>
      <c r="P48" s="349"/>
      <c r="Q48" s="349"/>
      <c r="R48" s="349"/>
      <c r="S48" s="392"/>
      <c r="T48" s="392"/>
      <c r="U48" s="392"/>
      <c r="V48" s="392"/>
      <c r="W48" s="392"/>
      <c r="X48" s="392"/>
      <c r="Y48" s="392"/>
      <c r="Z48" s="392"/>
      <c r="AA48" s="392"/>
      <c r="AB48" s="392"/>
      <c r="AC48" s="392"/>
      <c r="AD48" s="392"/>
      <c r="AE48" s="392"/>
      <c r="AF48" s="392"/>
      <c r="AG48" s="392"/>
    </row>
    <row r="49" spans="3:33" s="391" customFormat="1" ht="30" customHeight="1" x14ac:dyDescent="0.25">
      <c r="C49" s="676"/>
      <c r="E49" s="530"/>
      <c r="F49" s="530"/>
      <c r="G49" s="1310" t="s">
        <v>391</v>
      </c>
      <c r="H49" s="1310"/>
      <c r="I49" s="1310"/>
      <c r="J49" s="1310"/>
      <c r="K49" s="1310" t="s">
        <v>420</v>
      </c>
      <c r="L49" s="1310"/>
      <c r="M49" s="1310"/>
      <c r="N49" s="1310"/>
      <c r="P49" s="392"/>
      <c r="Q49" s="392"/>
      <c r="R49" s="392"/>
      <c r="S49" s="392"/>
      <c r="T49" s="392"/>
      <c r="U49" s="392"/>
      <c r="V49" s="392"/>
      <c r="W49" s="392"/>
      <c r="X49" s="392"/>
      <c r="Y49" s="392"/>
      <c r="Z49" s="392"/>
      <c r="AA49" s="392"/>
      <c r="AB49" s="392"/>
      <c r="AC49" s="392"/>
      <c r="AD49" s="392"/>
      <c r="AE49" s="392"/>
      <c r="AF49" s="392"/>
      <c r="AG49" s="392"/>
    </row>
    <row r="50" spans="3:33" s="391" customFormat="1" ht="21" customHeight="1" x14ac:dyDescent="0.25">
      <c r="C50" s="676"/>
      <c r="E50" s="530"/>
      <c r="F50" s="530"/>
      <c r="G50" s="523" t="s">
        <v>346</v>
      </c>
      <c r="H50" s="523" t="s">
        <v>347</v>
      </c>
      <c r="I50" s="523" t="s">
        <v>348</v>
      </c>
      <c r="J50" s="749" t="s">
        <v>386</v>
      </c>
      <c r="K50" s="523" t="s">
        <v>346</v>
      </c>
      <c r="L50" s="523" t="s">
        <v>347</v>
      </c>
      <c r="M50" s="749" t="s">
        <v>386</v>
      </c>
      <c r="N50" s="523" t="s">
        <v>5</v>
      </c>
      <c r="P50" s="392"/>
      <c r="Q50" s="392"/>
      <c r="R50" s="392"/>
      <c r="S50" s="392"/>
      <c r="T50" s="392"/>
      <c r="U50" s="392"/>
      <c r="V50" s="392"/>
      <c r="W50" s="392"/>
      <c r="X50" s="392"/>
      <c r="Y50" s="392"/>
      <c r="Z50" s="392"/>
      <c r="AA50" s="392"/>
      <c r="AB50" s="392"/>
      <c r="AC50" s="392"/>
      <c r="AD50" s="392"/>
      <c r="AE50" s="392"/>
      <c r="AF50" s="392"/>
      <c r="AG50" s="392"/>
    </row>
    <row r="51" spans="3:33" s="391" customFormat="1" ht="20.25" customHeight="1" x14ac:dyDescent="0.25">
      <c r="E51" s="306" t="s">
        <v>7</v>
      </c>
      <c r="F51" s="306" t="s">
        <v>316</v>
      </c>
      <c r="G51" s="529" t="s">
        <v>340</v>
      </c>
      <c r="H51" s="529" t="s">
        <v>341</v>
      </c>
      <c r="I51" s="529" t="s">
        <v>342</v>
      </c>
      <c r="J51" s="740" t="s">
        <v>5</v>
      </c>
      <c r="K51" s="529" t="s">
        <v>340</v>
      </c>
      <c r="L51" s="529" t="s">
        <v>341</v>
      </c>
      <c r="M51" s="740" t="s">
        <v>5</v>
      </c>
      <c r="N51" s="675" t="s">
        <v>386</v>
      </c>
      <c r="O51" s="392"/>
    </row>
    <row r="52" spans="3:33" s="391" customFormat="1" ht="15" x14ac:dyDescent="0.25">
      <c r="E52" s="501">
        <v>0</v>
      </c>
      <c r="F52" s="331">
        <v>2025</v>
      </c>
      <c r="G52" s="684" t="e">
        <f>E$34</f>
        <v>#REF!</v>
      </c>
      <c r="H52" s="684" t="e">
        <f>AA$34</f>
        <v>#REF!</v>
      </c>
      <c r="I52" s="684" t="e">
        <f>AW$34</f>
        <v>#REF!</v>
      </c>
      <c r="J52" s="685" t="e">
        <f>SUM(G52:I52)</f>
        <v>#REF!</v>
      </c>
      <c r="K52" s="679" t="e">
        <f>E$35</f>
        <v>#REF!</v>
      </c>
      <c r="L52" s="679" t="e">
        <f>AA$35</f>
        <v>#REF!</v>
      </c>
      <c r="M52" s="679" t="e">
        <f>$AW$35</f>
        <v>#REF!</v>
      </c>
      <c r="N52" s="680" t="e">
        <f t="shared" ref="N52:N72" si="20">K52+L52+M52</f>
        <v>#REF!</v>
      </c>
      <c r="O52" s="677"/>
    </row>
    <row r="53" spans="3:33" s="391" customFormat="1" ht="15" x14ac:dyDescent="0.25">
      <c r="E53" s="501">
        <v>1</v>
      </c>
      <c r="F53" s="331">
        <v>2026</v>
      </c>
      <c r="G53" s="684" t="e">
        <f>F$34</f>
        <v>#REF!</v>
      </c>
      <c r="H53" s="684" t="e">
        <f>AB$34</f>
        <v>#REF!</v>
      </c>
      <c r="I53" s="684" t="e">
        <f>AX$34</f>
        <v>#REF!</v>
      </c>
      <c r="J53" s="685" t="e">
        <f t="shared" ref="J53:J72" si="21">SUM(G53:I53)</f>
        <v>#REF!</v>
      </c>
      <c r="K53" s="679" t="e">
        <f>F$35</f>
        <v>#REF!</v>
      </c>
      <c r="L53" s="679" t="e">
        <f>AB$35</f>
        <v>#REF!</v>
      </c>
      <c r="M53" s="679" t="e">
        <f>$AX$35</f>
        <v>#REF!</v>
      </c>
      <c r="N53" s="680" t="e">
        <f t="shared" si="20"/>
        <v>#REF!</v>
      </c>
      <c r="O53" s="677"/>
    </row>
    <row r="54" spans="3:33" s="391" customFormat="1" ht="15" x14ac:dyDescent="0.25">
      <c r="E54" s="501">
        <v>2</v>
      </c>
      <c r="F54" s="331">
        <v>2027</v>
      </c>
      <c r="G54" s="684" t="e">
        <f>G$34</f>
        <v>#REF!</v>
      </c>
      <c r="H54" s="684" t="e">
        <f>AC$34</f>
        <v>#REF!</v>
      </c>
      <c r="I54" s="684" t="e">
        <f>AY$34</f>
        <v>#REF!</v>
      </c>
      <c r="J54" s="685" t="e">
        <f t="shared" si="21"/>
        <v>#REF!</v>
      </c>
      <c r="K54" s="679" t="e">
        <f>G$35</f>
        <v>#REF!</v>
      </c>
      <c r="L54" s="679" t="e">
        <f>AC$35</f>
        <v>#REF!</v>
      </c>
      <c r="M54" s="679" t="e">
        <f>$AY$35</f>
        <v>#REF!</v>
      </c>
      <c r="N54" s="680" t="e">
        <f t="shared" si="20"/>
        <v>#REF!</v>
      </c>
      <c r="O54" s="677"/>
    </row>
    <row r="55" spans="3:33" s="391" customFormat="1" ht="15" x14ac:dyDescent="0.25">
      <c r="E55" s="501">
        <v>3</v>
      </c>
      <c r="F55" s="331">
        <v>2028</v>
      </c>
      <c r="G55" s="684" t="e">
        <f>H$34</f>
        <v>#REF!</v>
      </c>
      <c r="H55" s="684" t="e">
        <f>AD$34</f>
        <v>#REF!</v>
      </c>
      <c r="I55" s="684" t="e">
        <f>AZ$34</f>
        <v>#REF!</v>
      </c>
      <c r="J55" s="685" t="e">
        <f t="shared" si="21"/>
        <v>#REF!</v>
      </c>
      <c r="K55" s="679" t="e">
        <f>H$35</f>
        <v>#REF!</v>
      </c>
      <c r="L55" s="679" t="e">
        <f>AD$35</f>
        <v>#REF!</v>
      </c>
      <c r="M55" s="679" t="e">
        <f>$AZ$35</f>
        <v>#REF!</v>
      </c>
      <c r="N55" s="680" t="e">
        <f t="shared" si="20"/>
        <v>#REF!</v>
      </c>
      <c r="O55" s="677"/>
    </row>
    <row r="56" spans="3:33" s="391" customFormat="1" ht="15" x14ac:dyDescent="0.25">
      <c r="E56" s="501">
        <v>4</v>
      </c>
      <c r="F56" s="331">
        <v>2029</v>
      </c>
      <c r="G56" s="684" t="e">
        <f>I$34</f>
        <v>#REF!</v>
      </c>
      <c r="H56" s="684" t="e">
        <f>AE$34</f>
        <v>#REF!</v>
      </c>
      <c r="I56" s="684" t="e">
        <f>BA$34</f>
        <v>#REF!</v>
      </c>
      <c r="J56" s="685" t="e">
        <f t="shared" si="21"/>
        <v>#REF!</v>
      </c>
      <c r="K56" s="679" t="e">
        <f>I$35</f>
        <v>#REF!</v>
      </c>
      <c r="L56" s="679" t="e">
        <f>AE$35</f>
        <v>#REF!</v>
      </c>
      <c r="M56" s="679" t="e">
        <f>$BA$35</f>
        <v>#REF!</v>
      </c>
      <c r="N56" s="680" t="e">
        <f t="shared" si="20"/>
        <v>#REF!</v>
      </c>
      <c r="O56" s="677"/>
    </row>
    <row r="57" spans="3:33" s="391" customFormat="1" ht="15" x14ac:dyDescent="0.25">
      <c r="E57" s="501">
        <v>5</v>
      </c>
      <c r="F57" s="331">
        <v>2030</v>
      </c>
      <c r="G57" s="684" t="e">
        <f>J$34</f>
        <v>#REF!</v>
      </c>
      <c r="H57" s="684" t="e">
        <f>AF$34</f>
        <v>#REF!</v>
      </c>
      <c r="I57" s="684" t="e">
        <f>BB$34</f>
        <v>#REF!</v>
      </c>
      <c r="J57" s="685" t="e">
        <f t="shared" si="21"/>
        <v>#REF!</v>
      </c>
      <c r="K57" s="679" t="e">
        <f>J$35</f>
        <v>#REF!</v>
      </c>
      <c r="L57" s="679" t="e">
        <f>AF$35</f>
        <v>#REF!</v>
      </c>
      <c r="M57" s="679" t="e">
        <f>$BB$35</f>
        <v>#REF!</v>
      </c>
      <c r="N57" s="680" t="e">
        <f t="shared" si="20"/>
        <v>#REF!</v>
      </c>
      <c r="O57" s="677"/>
    </row>
    <row r="58" spans="3:33" s="391" customFormat="1" ht="15" x14ac:dyDescent="0.25">
      <c r="E58" s="501">
        <v>6</v>
      </c>
      <c r="F58" s="331">
        <v>2031</v>
      </c>
      <c r="G58" s="684" t="e">
        <f>K$34</f>
        <v>#REF!</v>
      </c>
      <c r="H58" s="684" t="e">
        <f>AG$34</f>
        <v>#REF!</v>
      </c>
      <c r="I58" s="684" t="e">
        <f>BC$34</f>
        <v>#REF!</v>
      </c>
      <c r="J58" s="685" t="e">
        <f t="shared" si="21"/>
        <v>#REF!</v>
      </c>
      <c r="K58" s="679" t="e">
        <f>K$35</f>
        <v>#REF!</v>
      </c>
      <c r="L58" s="679" t="e">
        <f>AG$35</f>
        <v>#REF!</v>
      </c>
      <c r="M58" s="679" t="e">
        <f>$BC$35</f>
        <v>#REF!</v>
      </c>
      <c r="N58" s="680" t="e">
        <f t="shared" si="20"/>
        <v>#REF!</v>
      </c>
      <c r="O58" s="677"/>
    </row>
    <row r="59" spans="3:33" s="391" customFormat="1" ht="15" x14ac:dyDescent="0.25">
      <c r="E59" s="501">
        <v>7</v>
      </c>
      <c r="F59" s="331">
        <v>2032</v>
      </c>
      <c r="G59" s="684" t="e">
        <f>L$34</f>
        <v>#REF!</v>
      </c>
      <c r="H59" s="684" t="e">
        <f>AH$34</f>
        <v>#REF!</v>
      </c>
      <c r="I59" s="684" t="e">
        <f>BD$34</f>
        <v>#REF!</v>
      </c>
      <c r="J59" s="685" t="e">
        <f t="shared" si="21"/>
        <v>#REF!</v>
      </c>
      <c r="K59" s="679" t="e">
        <f>L$35</f>
        <v>#REF!</v>
      </c>
      <c r="L59" s="679" t="e">
        <f>AH$35</f>
        <v>#REF!</v>
      </c>
      <c r="M59" s="679" t="e">
        <f>$BD$35</f>
        <v>#REF!</v>
      </c>
      <c r="N59" s="680" t="e">
        <f t="shared" si="20"/>
        <v>#REF!</v>
      </c>
      <c r="O59" s="677"/>
    </row>
    <row r="60" spans="3:33" s="391" customFormat="1" ht="15" x14ac:dyDescent="0.25">
      <c r="E60" s="501">
        <v>8</v>
      </c>
      <c r="F60" s="331">
        <v>2033</v>
      </c>
      <c r="G60" s="684" t="e">
        <f>M$34</f>
        <v>#REF!</v>
      </c>
      <c r="H60" s="684" t="e">
        <f>AI$34</f>
        <v>#REF!</v>
      </c>
      <c r="I60" s="684" t="e">
        <f>BE$34</f>
        <v>#REF!</v>
      </c>
      <c r="J60" s="685" t="e">
        <f t="shared" si="21"/>
        <v>#REF!</v>
      </c>
      <c r="K60" s="679" t="e">
        <f>M$35</f>
        <v>#REF!</v>
      </c>
      <c r="L60" s="679" t="e">
        <f>AI$35</f>
        <v>#REF!</v>
      </c>
      <c r="M60" s="679" t="e">
        <f>$BE$35</f>
        <v>#REF!</v>
      </c>
      <c r="N60" s="680" t="e">
        <f t="shared" si="20"/>
        <v>#REF!</v>
      </c>
      <c r="O60" s="677"/>
    </row>
    <row r="61" spans="3:33" s="391" customFormat="1" ht="15" x14ac:dyDescent="0.25">
      <c r="E61" s="501">
        <v>9</v>
      </c>
      <c r="F61" s="331">
        <v>2034</v>
      </c>
      <c r="G61" s="684" t="e">
        <f>N$34</f>
        <v>#REF!</v>
      </c>
      <c r="H61" s="684" t="e">
        <f>AJ$34</f>
        <v>#REF!</v>
      </c>
      <c r="I61" s="684" t="e">
        <f>BF$34</f>
        <v>#REF!</v>
      </c>
      <c r="J61" s="685" t="e">
        <f t="shared" si="21"/>
        <v>#REF!</v>
      </c>
      <c r="K61" s="679" t="e">
        <f>N$35</f>
        <v>#REF!</v>
      </c>
      <c r="L61" s="679" t="e">
        <f>AJ$35</f>
        <v>#REF!</v>
      </c>
      <c r="M61" s="679" t="e">
        <f>$BF$35</f>
        <v>#REF!</v>
      </c>
      <c r="N61" s="680" t="e">
        <f t="shared" si="20"/>
        <v>#REF!</v>
      </c>
      <c r="O61" s="677"/>
    </row>
    <row r="62" spans="3:33" s="391" customFormat="1" ht="15" x14ac:dyDescent="0.25">
      <c r="E62" s="501">
        <v>10</v>
      </c>
      <c r="F62" s="331">
        <v>2035</v>
      </c>
      <c r="G62" s="684" t="e">
        <f>O$34</f>
        <v>#REF!</v>
      </c>
      <c r="H62" s="684" t="e">
        <f>AK$34</f>
        <v>#REF!</v>
      </c>
      <c r="I62" s="684" t="e">
        <f>BG$34</f>
        <v>#REF!</v>
      </c>
      <c r="J62" s="685" t="e">
        <f t="shared" si="21"/>
        <v>#REF!</v>
      </c>
      <c r="K62" s="679" t="e">
        <f>O$35</f>
        <v>#REF!</v>
      </c>
      <c r="L62" s="679" t="e">
        <f>AK$35</f>
        <v>#REF!</v>
      </c>
      <c r="M62" s="679" t="e">
        <f>$BG$35</f>
        <v>#REF!</v>
      </c>
      <c r="N62" s="680" t="e">
        <f t="shared" si="20"/>
        <v>#REF!</v>
      </c>
      <c r="O62" s="677"/>
    </row>
    <row r="63" spans="3:33" s="391" customFormat="1" ht="15" x14ac:dyDescent="0.25">
      <c r="E63" s="501">
        <v>11</v>
      </c>
      <c r="F63" s="331">
        <v>2036</v>
      </c>
      <c r="G63" s="684" t="e">
        <f>P$34</f>
        <v>#REF!</v>
      </c>
      <c r="H63" s="684" t="e">
        <f>AL$34</f>
        <v>#REF!</v>
      </c>
      <c r="I63" s="684" t="e">
        <f>BH$34</f>
        <v>#REF!</v>
      </c>
      <c r="J63" s="685" t="e">
        <f t="shared" si="21"/>
        <v>#REF!</v>
      </c>
      <c r="K63" s="679" t="e">
        <f>P$35</f>
        <v>#REF!</v>
      </c>
      <c r="L63" s="679" t="e">
        <f>AL$35</f>
        <v>#REF!</v>
      </c>
      <c r="M63" s="679" t="e">
        <f>$BH$35</f>
        <v>#REF!</v>
      </c>
      <c r="N63" s="680" t="e">
        <f t="shared" si="20"/>
        <v>#REF!</v>
      </c>
      <c r="O63" s="677"/>
    </row>
    <row r="64" spans="3:33" s="391" customFormat="1" ht="15" x14ac:dyDescent="0.25">
      <c r="E64" s="501">
        <v>12</v>
      </c>
      <c r="F64" s="331">
        <v>2037</v>
      </c>
      <c r="G64" s="684" t="e">
        <f>Q$34</f>
        <v>#REF!</v>
      </c>
      <c r="H64" s="684" t="e">
        <f>AM$34</f>
        <v>#REF!</v>
      </c>
      <c r="I64" s="684" t="e">
        <f>BI$34</f>
        <v>#REF!</v>
      </c>
      <c r="J64" s="685" t="e">
        <f t="shared" si="21"/>
        <v>#REF!</v>
      </c>
      <c r="K64" s="679" t="e">
        <f>Q$35</f>
        <v>#REF!</v>
      </c>
      <c r="L64" s="679" t="e">
        <f>AM$35</f>
        <v>#REF!</v>
      </c>
      <c r="M64" s="679" t="e">
        <f>$BI$35</f>
        <v>#REF!</v>
      </c>
      <c r="N64" s="680" t="e">
        <f t="shared" si="20"/>
        <v>#REF!</v>
      </c>
      <c r="O64" s="677"/>
    </row>
    <row r="65" spans="5:15" s="391" customFormat="1" ht="15" x14ac:dyDescent="0.25">
      <c r="E65" s="501">
        <v>13</v>
      </c>
      <c r="F65" s="331">
        <v>2038</v>
      </c>
      <c r="G65" s="684" t="e">
        <f>R$34</f>
        <v>#REF!</v>
      </c>
      <c r="H65" s="684" t="e">
        <f>AN$34</f>
        <v>#REF!</v>
      </c>
      <c r="I65" s="684" t="e">
        <f>BJ$34</f>
        <v>#REF!</v>
      </c>
      <c r="J65" s="685" t="e">
        <f t="shared" si="21"/>
        <v>#REF!</v>
      </c>
      <c r="K65" s="679" t="e">
        <f>R$35</f>
        <v>#REF!</v>
      </c>
      <c r="L65" s="679" t="e">
        <f>AN$35</f>
        <v>#REF!</v>
      </c>
      <c r="M65" s="679" t="e">
        <f>$BJ$35</f>
        <v>#REF!</v>
      </c>
      <c r="N65" s="680" t="e">
        <f t="shared" si="20"/>
        <v>#REF!</v>
      </c>
      <c r="O65" s="677"/>
    </row>
    <row r="66" spans="5:15" s="391" customFormat="1" ht="15" x14ac:dyDescent="0.25">
      <c r="E66" s="501">
        <v>14</v>
      </c>
      <c r="F66" s="331">
        <v>2039</v>
      </c>
      <c r="G66" s="684" t="e">
        <f>S$34</f>
        <v>#REF!</v>
      </c>
      <c r="H66" s="684" t="e">
        <f>AO$34</f>
        <v>#REF!</v>
      </c>
      <c r="I66" s="684" t="e">
        <f>BK$34</f>
        <v>#REF!</v>
      </c>
      <c r="J66" s="685" t="e">
        <f t="shared" si="21"/>
        <v>#REF!</v>
      </c>
      <c r="K66" s="679" t="e">
        <f>S$35</f>
        <v>#REF!</v>
      </c>
      <c r="L66" s="679" t="e">
        <f>AO$35</f>
        <v>#REF!</v>
      </c>
      <c r="M66" s="679" t="e">
        <f>$BK$35</f>
        <v>#REF!</v>
      </c>
      <c r="N66" s="680" t="e">
        <f t="shared" si="20"/>
        <v>#REF!</v>
      </c>
      <c r="O66" s="677"/>
    </row>
    <row r="67" spans="5:15" s="391" customFormat="1" ht="15" x14ac:dyDescent="0.25">
      <c r="E67" s="501">
        <v>15</v>
      </c>
      <c r="F67" s="331">
        <v>2040</v>
      </c>
      <c r="G67" s="684" t="e">
        <f>T$34</f>
        <v>#REF!</v>
      </c>
      <c r="H67" s="684" t="e">
        <f>AP$34</f>
        <v>#REF!</v>
      </c>
      <c r="I67" s="684" t="e">
        <f>BL$34</f>
        <v>#REF!</v>
      </c>
      <c r="J67" s="685" t="e">
        <f t="shared" si="21"/>
        <v>#REF!</v>
      </c>
      <c r="K67" s="679" t="e">
        <f>T$35</f>
        <v>#REF!</v>
      </c>
      <c r="L67" s="679" t="e">
        <f>AP$35</f>
        <v>#REF!</v>
      </c>
      <c r="M67" s="679" t="e">
        <f>$BL$35</f>
        <v>#REF!</v>
      </c>
      <c r="N67" s="680" t="e">
        <f t="shared" si="20"/>
        <v>#REF!</v>
      </c>
      <c r="O67" s="677"/>
    </row>
    <row r="68" spans="5:15" s="391" customFormat="1" ht="15" x14ac:dyDescent="0.25">
      <c r="E68" s="501">
        <v>16</v>
      </c>
      <c r="F68" s="331">
        <v>2041</v>
      </c>
      <c r="G68" s="684" t="e">
        <f>U$34</f>
        <v>#REF!</v>
      </c>
      <c r="H68" s="684" t="e">
        <f>AQ$34</f>
        <v>#REF!</v>
      </c>
      <c r="I68" s="684" t="e">
        <f>BM$34</f>
        <v>#REF!</v>
      </c>
      <c r="J68" s="685" t="e">
        <f t="shared" si="21"/>
        <v>#REF!</v>
      </c>
      <c r="K68" s="679" t="e">
        <f>U$35</f>
        <v>#REF!</v>
      </c>
      <c r="L68" s="679" t="e">
        <f>AQ$35</f>
        <v>#REF!</v>
      </c>
      <c r="M68" s="679" t="e">
        <f>$BM$35</f>
        <v>#REF!</v>
      </c>
      <c r="N68" s="680" t="e">
        <f t="shared" si="20"/>
        <v>#REF!</v>
      </c>
      <c r="O68" s="677"/>
    </row>
    <row r="69" spans="5:15" s="391" customFormat="1" ht="15" x14ac:dyDescent="0.25">
      <c r="E69" s="501">
        <v>17</v>
      </c>
      <c r="F69" s="331">
        <v>2042</v>
      </c>
      <c r="G69" s="684" t="e">
        <f>V$34</f>
        <v>#REF!</v>
      </c>
      <c r="H69" s="684" t="e">
        <f>AR$34</f>
        <v>#REF!</v>
      </c>
      <c r="I69" s="684" t="e">
        <f>BN$34</f>
        <v>#REF!</v>
      </c>
      <c r="J69" s="685" t="e">
        <f t="shared" si="21"/>
        <v>#REF!</v>
      </c>
      <c r="K69" s="679" t="e">
        <f>V$35</f>
        <v>#REF!</v>
      </c>
      <c r="L69" s="679" t="e">
        <f>AR$35</f>
        <v>#REF!</v>
      </c>
      <c r="M69" s="679" t="e">
        <f>$BN$35</f>
        <v>#REF!</v>
      </c>
      <c r="N69" s="680" t="e">
        <f t="shared" si="20"/>
        <v>#REF!</v>
      </c>
      <c r="O69" s="677"/>
    </row>
    <row r="70" spans="5:15" s="391" customFormat="1" ht="15" x14ac:dyDescent="0.25">
      <c r="E70" s="501">
        <v>18</v>
      </c>
      <c r="F70" s="331">
        <v>2043</v>
      </c>
      <c r="G70" s="684" t="e">
        <f>W$34</f>
        <v>#REF!</v>
      </c>
      <c r="H70" s="684" t="e">
        <f>AS$34</f>
        <v>#REF!</v>
      </c>
      <c r="I70" s="684" t="e">
        <f>BO$34</f>
        <v>#REF!</v>
      </c>
      <c r="J70" s="685" t="e">
        <f t="shared" si="21"/>
        <v>#REF!</v>
      </c>
      <c r="K70" s="679" t="e">
        <f>W$35</f>
        <v>#REF!</v>
      </c>
      <c r="L70" s="679" t="e">
        <f>AS$35</f>
        <v>#REF!</v>
      </c>
      <c r="M70" s="679" t="e">
        <f>$BO$35</f>
        <v>#REF!</v>
      </c>
      <c r="N70" s="680" t="e">
        <f t="shared" si="20"/>
        <v>#REF!</v>
      </c>
      <c r="O70" s="677"/>
    </row>
    <row r="71" spans="5:15" s="391" customFormat="1" ht="15" x14ac:dyDescent="0.25">
      <c r="E71" s="501">
        <v>19</v>
      </c>
      <c r="F71" s="331">
        <v>2044</v>
      </c>
      <c r="G71" s="684" t="e">
        <f>X$34</f>
        <v>#REF!</v>
      </c>
      <c r="H71" s="684" t="e">
        <f>AT$34</f>
        <v>#REF!</v>
      </c>
      <c r="I71" s="684" t="e">
        <f>BP$34</f>
        <v>#REF!</v>
      </c>
      <c r="J71" s="685" t="e">
        <f t="shared" si="21"/>
        <v>#REF!</v>
      </c>
      <c r="K71" s="679" t="e">
        <f>X$35</f>
        <v>#REF!</v>
      </c>
      <c r="L71" s="679" t="e">
        <f>AT$35</f>
        <v>#REF!</v>
      </c>
      <c r="M71" s="679" t="e">
        <f>$BP$35</f>
        <v>#REF!</v>
      </c>
      <c r="N71" s="680" t="e">
        <f t="shared" si="20"/>
        <v>#REF!</v>
      </c>
      <c r="O71" s="677"/>
    </row>
    <row r="72" spans="5:15" ht="15" x14ac:dyDescent="0.25">
      <c r="E72" s="501">
        <v>20</v>
      </c>
      <c r="F72" s="331">
        <v>2045</v>
      </c>
      <c r="G72" s="684" t="e">
        <f>Y$34</f>
        <v>#REF!</v>
      </c>
      <c r="H72" s="684" t="e">
        <f>AU$34</f>
        <v>#REF!</v>
      </c>
      <c r="I72" s="684" t="e">
        <f>BQ$34</f>
        <v>#REF!</v>
      </c>
      <c r="J72" s="685" t="e">
        <f t="shared" si="21"/>
        <v>#REF!</v>
      </c>
      <c r="K72" s="679" t="e">
        <f>Y$35</f>
        <v>#REF!</v>
      </c>
      <c r="L72" s="679" t="e">
        <f>AU$35</f>
        <v>#REF!</v>
      </c>
      <c r="M72" s="679" t="e">
        <f>$BQ$35</f>
        <v>#REF!</v>
      </c>
      <c r="N72" s="680" t="e">
        <f t="shared" si="20"/>
        <v>#REF!</v>
      </c>
      <c r="O72" s="677"/>
    </row>
    <row r="73" spans="5:15" ht="15" x14ac:dyDescent="0.25">
      <c r="E73" s="682" t="s">
        <v>387</v>
      </c>
      <c r="F73" s="681"/>
      <c r="G73" s="686" t="e">
        <f t="shared" ref="G73:N73" si="22">SUM(G52:G72)</f>
        <v>#REF!</v>
      </c>
      <c r="H73" s="686" t="e">
        <f t="shared" si="22"/>
        <v>#REF!</v>
      </c>
      <c r="I73" s="686" t="e">
        <f t="shared" si="22"/>
        <v>#REF!</v>
      </c>
      <c r="J73" s="686" t="e">
        <f t="shared" si="22"/>
        <v>#REF!</v>
      </c>
      <c r="K73" s="683" t="e">
        <f t="shared" si="22"/>
        <v>#REF!</v>
      </c>
      <c r="L73" s="683" t="e">
        <f t="shared" si="22"/>
        <v>#REF!</v>
      </c>
      <c r="M73" s="683" t="e">
        <f t="shared" si="22"/>
        <v>#REF!</v>
      </c>
      <c r="N73" s="683" t="e">
        <f t="shared" si="22"/>
        <v>#REF!</v>
      </c>
      <c r="O73" s="678" t="e">
        <f>IF(N73=SUM(E41:Y41),"OK","Check")</f>
        <v>#REF!</v>
      </c>
    </row>
    <row r="74" spans="5:15" ht="18.75" x14ac:dyDescent="0.25">
      <c r="E74" s="561" t="s">
        <v>392</v>
      </c>
    </row>
    <row r="77" spans="5:15" x14ac:dyDescent="0.25">
      <c r="G77" s="688" t="e">
        <f>G73/$J$73</f>
        <v>#REF!</v>
      </c>
      <c r="H77" s="688" t="e">
        <f>H73/$J$73</f>
        <v>#REF!</v>
      </c>
      <c r="I77" s="688" t="e">
        <f>I73/$J$73</f>
        <v>#REF!</v>
      </c>
      <c r="J77" s="391"/>
      <c r="K77" s="688" t="e">
        <f>K73/$N$73</f>
        <v>#REF!</v>
      </c>
      <c r="L77" s="688" t="e">
        <f>L73/$N$73</f>
        <v>#REF!</v>
      </c>
      <c r="M77" s="688" t="e">
        <f>M73/$N$73</f>
        <v>#REF!</v>
      </c>
    </row>
    <row r="78" spans="5:15" x14ac:dyDescent="0.25">
      <c r="G78" s="391"/>
      <c r="H78" s="391"/>
      <c r="I78" s="391"/>
      <c r="J78" s="391"/>
      <c r="K78" s="391"/>
      <c r="L78" s="391"/>
      <c r="M78" s="391"/>
    </row>
  </sheetData>
  <mergeCells count="8">
    <mergeCell ref="AA16:AU16"/>
    <mergeCell ref="AW16:BQ16"/>
    <mergeCell ref="J6:L6"/>
    <mergeCell ref="K49:N49"/>
    <mergeCell ref="G49:J49"/>
    <mergeCell ref="E38:Y38"/>
    <mergeCell ref="F6:H6"/>
    <mergeCell ref="E16:Y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2060"/>
    <pageSetUpPr fitToPage="1"/>
  </sheetPr>
  <dimension ref="A2:J55"/>
  <sheetViews>
    <sheetView showGridLines="0" zoomScale="85" zoomScaleNormal="85" workbookViewId="0">
      <selection activeCell="E6" sqref="E6"/>
    </sheetView>
  </sheetViews>
  <sheetFormatPr defaultRowHeight="12.75" x14ac:dyDescent="0.25"/>
  <cols>
    <col min="1" max="1" width="9.140625" style="1"/>
    <col min="2" max="2" width="33.42578125" style="1" customWidth="1"/>
    <col min="3" max="3" width="38.140625" style="1" bestFit="1" customWidth="1"/>
    <col min="4" max="4" width="18.42578125" style="1" customWidth="1"/>
    <col min="5" max="5" width="19" style="7" customWidth="1"/>
    <col min="6" max="6" width="17.28515625" style="7" customWidth="1"/>
    <col min="7" max="7" width="14.5703125" style="7" bestFit="1" customWidth="1"/>
    <col min="8" max="10" width="7" style="7" customWidth="1"/>
    <col min="11" max="16384" width="9.140625" style="14"/>
  </cols>
  <sheetData>
    <row r="2" spans="2:10" s="1" customFormat="1" ht="18" x14ac:dyDescent="0.25">
      <c r="B2" s="46" t="str">
        <f>"Benefit-Cost Assessment @ 7% Discount Rate for "&amp;'About the Spreadsheet Tabs'!$B$3</f>
        <v>Benefit-Cost Assessment @ 7% Discount Rate for Benefit-Cost Assessment Spreadsheet for Access I-95: Driving Baltimore's City Development</v>
      </c>
      <c r="C2" s="73"/>
      <c r="D2" s="73"/>
      <c r="E2" s="7"/>
      <c r="F2" s="7"/>
      <c r="G2" s="7"/>
      <c r="H2" s="7"/>
      <c r="I2" s="7"/>
      <c r="J2" s="7"/>
    </row>
    <row r="3" spans="2:10" s="1" customFormat="1" ht="13.5" thickBot="1" x14ac:dyDescent="0.3">
      <c r="B3" s="73"/>
      <c r="C3" s="73"/>
      <c r="D3" s="73"/>
      <c r="E3" s="7"/>
      <c r="F3" s="7"/>
      <c r="G3" s="7"/>
      <c r="H3" s="7"/>
      <c r="I3" s="7"/>
      <c r="J3" s="7"/>
    </row>
    <row r="4" spans="2:10" s="1" customFormat="1" ht="16.5" thickBot="1" x14ac:dyDescent="0.3">
      <c r="B4" s="190" t="s">
        <v>459</v>
      </c>
      <c r="C4" s="159"/>
      <c r="D4" s="159"/>
      <c r="E4" s="160"/>
      <c r="F4" s="7"/>
      <c r="G4" s="7"/>
      <c r="H4" s="7"/>
      <c r="I4" s="7"/>
      <c r="J4" s="7"/>
    </row>
    <row r="5" spans="2:10" s="1" customFormat="1" x14ac:dyDescent="0.25">
      <c r="B5" s="161"/>
      <c r="C5" s="148"/>
      <c r="D5" s="148"/>
      <c r="E5" s="162"/>
      <c r="F5" s="7"/>
      <c r="G5" s="7"/>
      <c r="H5" s="7"/>
      <c r="I5" s="7"/>
      <c r="J5" s="7"/>
    </row>
    <row r="6" spans="2:10" s="1" customFormat="1" ht="15.75" x14ac:dyDescent="0.25">
      <c r="B6" s="191" t="s">
        <v>464</v>
      </c>
      <c r="C6" s="192"/>
      <c r="D6" s="193"/>
      <c r="E6" s="768">
        <f>E33-E18</f>
        <v>407126433.7397182</v>
      </c>
      <c r="F6" s="7"/>
      <c r="G6" s="7"/>
      <c r="H6" s="7"/>
      <c r="I6" s="7"/>
      <c r="J6" s="7"/>
    </row>
    <row r="7" spans="2:10" s="1" customFormat="1" ht="15.75" x14ac:dyDescent="0.25">
      <c r="B7" s="191"/>
      <c r="C7" s="192"/>
      <c r="D7" s="192"/>
      <c r="E7" s="156"/>
      <c r="F7" s="7"/>
      <c r="G7" s="7"/>
      <c r="H7" s="7"/>
      <c r="I7" s="7"/>
      <c r="J7" s="7"/>
    </row>
    <row r="8" spans="2:10" s="1" customFormat="1" ht="15.75" x14ac:dyDescent="0.25">
      <c r="B8" s="191" t="s">
        <v>465</v>
      </c>
      <c r="C8" s="192"/>
      <c r="D8" s="192"/>
      <c r="E8" s="957">
        <f>E33/E18</f>
        <v>3.7899281319202158</v>
      </c>
      <c r="F8" s="7"/>
      <c r="G8" s="7"/>
      <c r="H8" s="7"/>
      <c r="I8" s="7"/>
      <c r="J8" s="7"/>
    </row>
    <row r="9" spans="2:10" s="1" customFormat="1" ht="13.5" thickBot="1" x14ac:dyDescent="0.3">
      <c r="B9" s="164"/>
      <c r="C9" s="152"/>
      <c r="D9" s="152"/>
      <c r="E9" s="165"/>
      <c r="F9" s="7"/>
      <c r="G9" s="7"/>
      <c r="H9" s="7"/>
      <c r="I9" s="7"/>
      <c r="J9" s="7"/>
    </row>
    <row r="10" spans="2:10" s="1" customFormat="1" ht="13.5" hidden="1" thickBot="1" x14ac:dyDescent="0.3">
      <c r="B10" s="876"/>
      <c r="C10" s="877"/>
      <c r="D10" s="877"/>
      <c r="E10" s="755"/>
      <c r="F10" s="7"/>
      <c r="G10" s="7"/>
      <c r="H10" s="7"/>
      <c r="I10" s="7"/>
      <c r="J10" s="7"/>
    </row>
    <row r="11" spans="2:10" s="1" customFormat="1" ht="16.5" thickBot="1" x14ac:dyDescent="0.3">
      <c r="B11" s="195" t="s">
        <v>457</v>
      </c>
      <c r="C11" s="144"/>
      <c r="D11" s="144"/>
      <c r="E11" s="145"/>
    </row>
    <row r="12" spans="2:10" s="1" customFormat="1" x14ac:dyDescent="0.25">
      <c r="B12" s="146"/>
      <c r="C12" s="147"/>
      <c r="D12" s="148"/>
      <c r="E12" s="149"/>
    </row>
    <row r="13" spans="2:10" s="1" customFormat="1" x14ac:dyDescent="0.25">
      <c r="B13" s="759"/>
      <c r="C13" s="760"/>
      <c r="D13" s="47"/>
      <c r="E13" s="156"/>
    </row>
    <row r="14" spans="2:10" s="1" customFormat="1" x14ac:dyDescent="0.25">
      <c r="B14" s="756" t="s">
        <v>426</v>
      </c>
      <c r="C14" s="760"/>
      <c r="D14" s="757" t="s">
        <v>443</v>
      </c>
      <c r="E14" s="758" t="s">
        <v>458</v>
      </c>
    </row>
    <row r="15" spans="2:10" s="1" customFormat="1" x14ac:dyDescent="0.25">
      <c r="B15" s="756"/>
      <c r="C15" s="760"/>
      <c r="D15" s="757"/>
      <c r="E15" s="758"/>
    </row>
    <row r="16" spans="2:10" s="1" customFormat="1" x14ac:dyDescent="0.25">
      <c r="B16" s="163" t="s">
        <v>82</v>
      </c>
      <c r="C16" s="760"/>
      <c r="D16" s="766">
        <f>BenefitSummary!C333</f>
        <v>183289000.00000003</v>
      </c>
      <c r="E16" s="767">
        <f>BenefitSummary!F333</f>
        <v>145872251.00723338</v>
      </c>
    </row>
    <row r="17" spans="2:10" s="1" customFormat="1" ht="13.5" thickBot="1" x14ac:dyDescent="0.3">
      <c r="B17" s="163" t="s">
        <v>445</v>
      </c>
      <c r="C17" s="760"/>
      <c r="D17" s="769">
        <f>BenefitSummary!D333</f>
        <v>243498.91</v>
      </c>
      <c r="E17" s="770">
        <f>BenefitSummary!H333</f>
        <v>54960.909693828246</v>
      </c>
    </row>
    <row r="18" spans="2:10" s="1" customFormat="1" x14ac:dyDescent="0.25">
      <c r="B18" s="761" t="s">
        <v>466</v>
      </c>
      <c r="C18" s="760"/>
      <c r="D18" s="766">
        <f>SUM(D16:D17)</f>
        <v>183532498.91000003</v>
      </c>
      <c r="E18" s="767">
        <f>SUM(E16:E17)</f>
        <v>145927211.91692722</v>
      </c>
    </row>
    <row r="19" spans="2:10" s="1" customFormat="1" ht="13.5" thickBot="1" x14ac:dyDescent="0.3">
      <c r="B19" s="150"/>
      <c r="C19" s="151"/>
      <c r="D19" s="152"/>
      <c r="E19" s="153"/>
    </row>
    <row r="20" spans="2:10" s="1" customFormat="1" ht="13.5" hidden="1" thickBot="1" x14ac:dyDescent="0.3">
      <c r="B20" s="185"/>
      <c r="C20" s="49"/>
      <c r="D20" s="186"/>
      <c r="E20" s="755"/>
    </row>
    <row r="21" spans="2:10" s="1" customFormat="1" ht="16.5" thickBot="1" x14ac:dyDescent="0.3">
      <c r="B21" s="1068" t="s">
        <v>444</v>
      </c>
      <c r="C21" s="1069"/>
      <c r="D21" s="1069"/>
      <c r="E21" s="1070"/>
    </row>
    <row r="22" spans="2:10" s="1" customFormat="1" x14ac:dyDescent="0.25">
      <c r="B22" s="146"/>
      <c r="C22" s="147"/>
      <c r="D22" s="148"/>
      <c r="E22" s="149"/>
    </row>
    <row r="23" spans="2:10" s="1" customFormat="1" x14ac:dyDescent="0.25">
      <c r="B23" s="756" t="s">
        <v>455</v>
      </c>
      <c r="C23" s="464" t="s">
        <v>437</v>
      </c>
      <c r="D23" s="757" t="s">
        <v>443</v>
      </c>
      <c r="E23" s="758" t="s">
        <v>458</v>
      </c>
    </row>
    <row r="24" spans="2:10" s="1" customFormat="1" x14ac:dyDescent="0.25">
      <c r="B24" s="154"/>
      <c r="C24" s="155"/>
      <c r="D24" s="155"/>
      <c r="E24" s="156"/>
    </row>
    <row r="25" spans="2:10" s="1" customFormat="1" x14ac:dyDescent="0.25">
      <c r="B25" s="163" t="s">
        <v>435</v>
      </c>
      <c r="C25" s="47" t="s">
        <v>702</v>
      </c>
      <c r="D25" s="1334">
        <f>BenefitSummary!C292</f>
        <v>730496.73</v>
      </c>
      <c r="E25" s="1335">
        <f>BenefitSummary!E292</f>
        <v>363741.87055373809</v>
      </c>
      <c r="F25" s="887"/>
    </row>
    <row r="26" spans="2:10" x14ac:dyDescent="0.25">
      <c r="B26" s="754" t="s">
        <v>31</v>
      </c>
      <c r="C26" s="753" t="s">
        <v>500</v>
      </c>
      <c r="D26" s="1334">
        <f>BenefitSummary!D35</f>
        <v>1765287249.1725314</v>
      </c>
      <c r="E26" s="1335">
        <f>BenefitSummary!F35</f>
        <v>508281464.34926301</v>
      </c>
      <c r="F26" s="887"/>
      <c r="J26" s="14"/>
    </row>
    <row r="27" spans="2:10" x14ac:dyDescent="0.25">
      <c r="B27" s="752"/>
      <c r="C27" s="753" t="s">
        <v>703</v>
      </c>
      <c r="D27" s="1334">
        <f>BenefitSummary!D71</f>
        <v>29765734.546439979</v>
      </c>
      <c r="E27" s="1335">
        <f>BenefitSummary!G71</f>
        <v>28372103.207619555</v>
      </c>
      <c r="F27" s="887"/>
      <c r="J27" s="14"/>
    </row>
    <row r="28" spans="2:10" x14ac:dyDescent="0.25">
      <c r="B28" s="163" t="s">
        <v>689</v>
      </c>
      <c r="C28" s="753" t="s">
        <v>691</v>
      </c>
      <c r="D28" s="1334">
        <f>BenefitSummary!C179</f>
        <v>14851134.06768129</v>
      </c>
      <c r="E28" s="1335">
        <f>BenefitSummary!E179</f>
        <v>4453347.881442762</v>
      </c>
      <c r="F28" s="887"/>
      <c r="J28" s="14"/>
    </row>
    <row r="29" spans="2:10" x14ac:dyDescent="0.25">
      <c r="B29" s="752"/>
      <c r="C29" s="753" t="s">
        <v>692</v>
      </c>
      <c r="D29" s="1334">
        <f>BenefitSummary!G215</f>
        <v>21629170.278665241</v>
      </c>
      <c r="E29" s="1335">
        <f>BenefitSummary!I215</f>
        <v>6479134.3785808543</v>
      </c>
      <c r="F29" s="887"/>
      <c r="J29" s="14"/>
    </row>
    <row r="30" spans="2:10" x14ac:dyDescent="0.25">
      <c r="B30" s="163" t="s">
        <v>506</v>
      </c>
      <c r="C30" s="753" t="s">
        <v>704</v>
      </c>
      <c r="D30" s="1334">
        <f>BenefitSummary!C107</f>
        <v>4535311.326993593</v>
      </c>
      <c r="E30" s="1335">
        <f>BenefitSummary!E107</f>
        <v>2959753.2907000799</v>
      </c>
      <c r="F30" s="887"/>
      <c r="J30" s="14"/>
    </row>
    <row r="31" spans="2:10" x14ac:dyDescent="0.25">
      <c r="B31" s="163"/>
      <c r="C31" s="47" t="s">
        <v>705</v>
      </c>
      <c r="D31" s="1334">
        <f>BenefitSummary!F143</f>
        <v>7010473.0569171244</v>
      </c>
      <c r="E31" s="1335">
        <f>BenefitSummary!H143</f>
        <v>2019125.1793862428</v>
      </c>
      <c r="F31" s="887"/>
      <c r="J31" s="14"/>
    </row>
    <row r="32" spans="2:10" ht="13.5" thickBot="1" x14ac:dyDescent="0.3">
      <c r="B32" s="163" t="s">
        <v>507</v>
      </c>
      <c r="C32" s="47" t="s">
        <v>706</v>
      </c>
      <c r="D32" s="1336">
        <f>BenefitSummary!C251</f>
        <v>406334.21429868916</v>
      </c>
      <c r="E32" s="1337">
        <f>BenefitSummary!E251</f>
        <v>124975.49909913105</v>
      </c>
      <c r="F32" s="1067"/>
      <c r="J32" s="14"/>
    </row>
    <row r="33" spans="2:10" x14ac:dyDescent="0.25">
      <c r="B33" s="754" t="s">
        <v>462</v>
      </c>
      <c r="C33" s="47"/>
      <c r="D33" s="1334">
        <f>SUM(D25:D32)</f>
        <v>1844215903.3935275</v>
      </c>
      <c r="E33" s="1335">
        <f>SUM(E25:E32)</f>
        <v>553053645.65664542</v>
      </c>
      <c r="F33" s="887"/>
      <c r="J33" s="14"/>
    </row>
    <row r="34" spans="2:10" ht="13.5" thickBot="1" x14ac:dyDescent="0.3">
      <c r="B34" s="164"/>
      <c r="C34" s="152"/>
      <c r="D34" s="152"/>
      <c r="E34" s="153"/>
      <c r="F34" s="157"/>
      <c r="G34" s="157"/>
      <c r="H34" s="157"/>
      <c r="I34" s="157"/>
      <c r="J34" s="157"/>
    </row>
    <row r="35" spans="2:10" x14ac:dyDescent="0.25">
      <c r="B35" s="7"/>
      <c r="C35" s="7"/>
      <c r="D35" s="7"/>
      <c r="E35" s="157"/>
      <c r="F35" s="157"/>
      <c r="G35" s="157"/>
      <c r="H35" s="157"/>
      <c r="I35" s="157"/>
      <c r="J35" s="157"/>
    </row>
    <row r="36" spans="2:10" x14ac:dyDescent="0.25">
      <c r="B36" s="7"/>
      <c r="C36" s="7"/>
      <c r="D36" s="7"/>
      <c r="E36" s="157"/>
      <c r="F36" s="157"/>
      <c r="G36" s="157"/>
      <c r="H36" s="157"/>
      <c r="I36" s="157"/>
      <c r="J36" s="157"/>
    </row>
    <row r="37" spans="2:10" x14ac:dyDescent="0.25">
      <c r="B37" s="7"/>
      <c r="C37" s="7"/>
      <c r="D37" s="7"/>
      <c r="E37" s="157"/>
      <c r="F37" s="157"/>
      <c r="G37" s="157"/>
      <c r="H37" s="157"/>
      <c r="I37" s="157"/>
      <c r="J37" s="157"/>
    </row>
    <row r="38" spans="2:10" x14ac:dyDescent="0.25">
      <c r="B38" s="7"/>
      <c r="C38" s="7"/>
      <c r="D38" s="7"/>
      <c r="E38" s="157"/>
      <c r="F38" s="157"/>
      <c r="G38" s="157"/>
      <c r="H38" s="157"/>
      <c r="I38" s="157"/>
      <c r="J38" s="157"/>
    </row>
    <row r="39" spans="2:10" x14ac:dyDescent="0.25">
      <c r="B39" s="7"/>
      <c r="C39" s="7"/>
      <c r="D39" s="7"/>
      <c r="E39" s="157"/>
      <c r="F39" s="157"/>
      <c r="G39" s="157"/>
      <c r="H39" s="157"/>
      <c r="I39" s="157"/>
      <c r="J39" s="157"/>
    </row>
    <row r="40" spans="2:10" x14ac:dyDescent="0.25">
      <c r="B40" s="7"/>
      <c r="C40" s="7"/>
      <c r="D40" s="7"/>
      <c r="E40" s="157"/>
      <c r="F40" s="157"/>
      <c r="G40" s="157"/>
      <c r="H40" s="157"/>
      <c r="I40" s="157"/>
      <c r="J40" s="157"/>
    </row>
    <row r="41" spans="2:10" x14ac:dyDescent="0.25">
      <c r="B41" s="7"/>
      <c r="C41" s="7"/>
      <c r="D41" s="7"/>
      <c r="E41" s="157"/>
      <c r="F41" s="157"/>
      <c r="G41" s="157"/>
      <c r="H41" s="157"/>
      <c r="I41" s="157"/>
      <c r="J41" s="157"/>
    </row>
    <row r="42" spans="2:10" x14ac:dyDescent="0.25">
      <c r="B42" s="7"/>
      <c r="C42" s="7"/>
      <c r="D42" s="7"/>
      <c r="E42" s="157"/>
      <c r="F42" s="157"/>
      <c r="G42" s="157"/>
      <c r="H42" s="157"/>
      <c r="I42" s="157"/>
      <c r="J42" s="157"/>
    </row>
    <row r="43" spans="2:10" x14ac:dyDescent="0.25">
      <c r="B43" s="7"/>
      <c r="C43" s="7"/>
      <c r="D43" s="7"/>
      <c r="E43" s="157"/>
      <c r="F43" s="157"/>
      <c r="G43" s="157"/>
      <c r="H43" s="157"/>
      <c r="I43" s="157"/>
      <c r="J43" s="157"/>
    </row>
    <row r="44" spans="2:10" x14ac:dyDescent="0.25">
      <c r="B44" s="7"/>
      <c r="C44" s="7"/>
      <c r="D44" s="7"/>
      <c r="E44" s="157" t="s">
        <v>475</v>
      </c>
      <c r="F44" s="157"/>
      <c r="G44" s="157"/>
      <c r="H44" s="157"/>
      <c r="I44" s="157"/>
      <c r="J44" s="157"/>
    </row>
    <row r="45" spans="2:10" x14ac:dyDescent="0.25">
      <c r="B45" s="7"/>
      <c r="C45" s="7"/>
      <c r="D45" s="7"/>
      <c r="E45" s="157"/>
      <c r="F45" s="157"/>
      <c r="G45" s="157"/>
      <c r="H45" s="157"/>
      <c r="I45" s="157"/>
      <c r="J45" s="157"/>
    </row>
    <row r="46" spans="2:10" x14ac:dyDescent="0.25">
      <c r="B46" s="7"/>
      <c r="C46" s="7"/>
      <c r="D46" s="7"/>
      <c r="E46" s="157"/>
      <c r="F46" s="157"/>
      <c r="G46" s="157"/>
      <c r="H46" s="157"/>
      <c r="I46" s="157"/>
      <c r="J46" s="157"/>
    </row>
    <row r="47" spans="2:10" x14ac:dyDescent="0.25">
      <c r="B47" s="7"/>
      <c r="C47" s="7"/>
      <c r="D47" s="7"/>
      <c r="E47" s="157"/>
      <c r="F47" s="157"/>
      <c r="G47" s="157"/>
      <c r="H47" s="157"/>
      <c r="I47" s="157"/>
      <c r="J47" s="157"/>
    </row>
    <row r="48" spans="2:10" x14ac:dyDescent="0.25">
      <c r="B48" s="7"/>
      <c r="C48" s="7"/>
      <c r="D48" s="7"/>
      <c r="E48" s="157"/>
      <c r="F48" s="157"/>
      <c r="G48" s="157"/>
      <c r="H48" s="157"/>
      <c r="I48" s="157"/>
      <c r="J48" s="157"/>
    </row>
    <row r="49" spans="2:10" x14ac:dyDescent="0.25">
      <c r="B49" s="7"/>
      <c r="C49" s="7"/>
      <c r="D49" s="7"/>
      <c r="E49" s="157"/>
      <c r="F49" s="157"/>
      <c r="G49" s="157"/>
      <c r="H49" s="157"/>
      <c r="I49" s="157"/>
      <c r="J49" s="157"/>
    </row>
    <row r="50" spans="2:10" x14ac:dyDescent="0.25">
      <c r="B50" s="7"/>
      <c r="C50" s="7"/>
      <c r="D50" s="7"/>
      <c r="E50" s="157"/>
      <c r="F50" s="157"/>
      <c r="G50" s="157"/>
      <c r="H50" s="157"/>
      <c r="I50" s="157"/>
      <c r="J50" s="157"/>
    </row>
    <row r="51" spans="2:10" x14ac:dyDescent="0.25">
      <c r="B51" s="7"/>
      <c r="C51" s="7"/>
      <c r="D51" s="7"/>
      <c r="E51" s="157"/>
      <c r="F51" s="157"/>
      <c r="G51" s="157"/>
      <c r="H51" s="157"/>
      <c r="I51" s="157"/>
      <c r="J51" s="157"/>
    </row>
    <row r="52" spans="2:10" x14ac:dyDescent="0.25">
      <c r="B52" s="7"/>
      <c r="C52" s="7"/>
      <c r="D52" s="7"/>
      <c r="E52" s="157"/>
      <c r="F52" s="157"/>
      <c r="G52" s="157"/>
      <c r="H52" s="157"/>
      <c r="I52" s="157"/>
      <c r="J52" s="157"/>
    </row>
    <row r="53" spans="2:10" x14ac:dyDescent="0.25">
      <c r="B53" s="7"/>
      <c r="C53" s="7"/>
      <c r="D53" s="7"/>
      <c r="E53" s="157"/>
      <c r="F53" s="157"/>
      <c r="G53" s="157"/>
      <c r="H53" s="157"/>
      <c r="I53" s="157"/>
      <c r="J53" s="157"/>
    </row>
    <row r="54" spans="2:10" x14ac:dyDescent="0.25">
      <c r="B54" s="7"/>
      <c r="C54" s="7"/>
      <c r="D54" s="7"/>
      <c r="E54" s="158"/>
      <c r="F54" s="158"/>
      <c r="G54" s="158"/>
      <c r="H54" s="158"/>
      <c r="I54" s="158"/>
      <c r="J54" s="158"/>
    </row>
    <row r="55" spans="2:10" x14ac:dyDescent="0.25">
      <c r="B55" s="7"/>
      <c r="C55" s="7"/>
      <c r="D55" s="7"/>
      <c r="E55" s="14"/>
      <c r="F55" s="14"/>
      <c r="G55" s="14"/>
      <c r="H55" s="14"/>
      <c r="I55" s="14"/>
      <c r="J55" s="14"/>
    </row>
  </sheetData>
  <pageMargins left="0.7" right="0.7" top="0.75" bottom="0.75" header="0.3" footer="0.3"/>
  <pageSetup scale="16"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00000"/>
  </sheetPr>
  <dimension ref="A1:BF342"/>
  <sheetViews>
    <sheetView zoomScale="85" zoomScaleNormal="85" workbookViewId="0">
      <selection activeCell="G10" sqref="G10"/>
    </sheetView>
  </sheetViews>
  <sheetFormatPr defaultRowHeight="13.5" x14ac:dyDescent="0.25"/>
  <cols>
    <col min="1" max="1" width="5" style="782" customWidth="1"/>
    <col min="2" max="2" width="19.85546875" style="782" customWidth="1"/>
    <col min="3" max="3" width="20.28515625" style="782" customWidth="1"/>
    <col min="4" max="5" width="19.85546875" style="782" customWidth="1"/>
    <col min="6" max="12" width="15.42578125" style="782" customWidth="1"/>
    <col min="13" max="14" width="12.7109375" style="781" customWidth="1"/>
    <col min="15" max="17" width="12.7109375" style="781" hidden="1" customWidth="1"/>
    <col min="18" max="18" width="12.7109375" style="781" customWidth="1"/>
    <col min="19" max="21" width="12.7109375" style="781" hidden="1" customWidth="1"/>
    <col min="22" max="22" width="12.7109375" style="781" customWidth="1"/>
    <col min="23" max="23" width="15" style="781" customWidth="1"/>
    <col min="24" max="24" width="14.5703125" style="781" customWidth="1"/>
    <col min="25" max="45" width="21.7109375" style="781" customWidth="1"/>
    <col min="46" max="46" width="21.7109375" style="782" customWidth="1"/>
    <col min="47" max="47" width="1.85546875" style="783" customWidth="1"/>
    <col min="48" max="48" width="20.28515625" style="782" customWidth="1"/>
    <col min="49" max="49" width="21.42578125" style="782" customWidth="1"/>
    <col min="50" max="50" width="16.7109375" style="782" customWidth="1"/>
    <col min="51" max="51" width="17.85546875" style="782" bestFit="1" customWidth="1"/>
    <col min="52" max="52" width="18.5703125" style="784" bestFit="1" customWidth="1"/>
    <col min="53" max="53" width="18.140625" style="782" customWidth="1"/>
    <col min="54" max="54" width="29.28515625" style="782" customWidth="1"/>
    <col min="55" max="55" width="27.7109375" style="782" customWidth="1"/>
    <col min="56" max="56" width="22.85546875" style="782" customWidth="1"/>
    <col min="57" max="57" width="18.5703125" style="782" customWidth="1"/>
    <col min="58" max="58" width="22.42578125" style="782" bestFit="1" customWidth="1"/>
    <col min="59" max="59" width="21.42578125" style="782" bestFit="1" customWidth="1"/>
    <col min="60" max="60" width="20.7109375" style="782" bestFit="1" customWidth="1"/>
    <col min="61" max="61" width="13.42578125" style="782" bestFit="1" customWidth="1"/>
    <col min="62" max="62" width="16.140625" style="782" customWidth="1"/>
    <col min="63" max="63" width="17" style="782" customWidth="1"/>
    <col min="64" max="64" width="2.85546875" style="782" customWidth="1"/>
    <col min="65" max="65" width="24.85546875" style="782" customWidth="1"/>
    <col min="66" max="66" width="30.140625" style="782" bestFit="1" customWidth="1"/>
    <col min="67" max="67" width="22.85546875" style="782" bestFit="1" customWidth="1"/>
    <col min="68" max="68" width="22.7109375" style="782" bestFit="1" customWidth="1"/>
    <col min="69" max="69" width="18.5703125" style="782" customWidth="1"/>
    <col min="70" max="71" width="9.140625" style="782"/>
    <col min="72" max="72" width="39.42578125" style="782" customWidth="1"/>
    <col min="73" max="74" width="23.42578125" style="782" bestFit="1" customWidth="1"/>
    <col min="75" max="16384" width="9.140625" style="782"/>
  </cols>
  <sheetData>
    <row r="1" spans="1:58" ht="15.75" customHeight="1" thickBot="1" x14ac:dyDescent="0.3">
      <c r="A1" s="1170" t="s">
        <v>707</v>
      </c>
      <c r="B1" s="1170"/>
      <c r="C1" s="1170"/>
      <c r="D1" s="1170"/>
      <c r="E1" s="1170"/>
      <c r="F1" s="1170"/>
      <c r="G1" s="843"/>
      <c r="H1" s="843"/>
      <c r="I1" s="843"/>
      <c r="J1" s="843"/>
      <c r="K1" s="843"/>
      <c r="L1" s="843"/>
      <c r="AV1" s="1171" t="s">
        <v>307</v>
      </c>
      <c r="AW1" s="1171"/>
      <c r="AX1" s="1171"/>
      <c r="AY1" s="1171"/>
    </row>
    <row r="2" spans="1:58" ht="14.25" x14ac:dyDescent="0.25">
      <c r="A2" s="785" t="s">
        <v>208</v>
      </c>
      <c r="B2" s="830" t="s">
        <v>206</v>
      </c>
      <c r="C2" s="785" t="s">
        <v>204</v>
      </c>
      <c r="D2" s="830" t="s">
        <v>309</v>
      </c>
      <c r="E2" s="785" t="s">
        <v>310</v>
      </c>
      <c r="F2" s="844" t="s">
        <v>311</v>
      </c>
      <c r="G2" s="789"/>
      <c r="H2" s="789"/>
      <c r="I2" s="789"/>
      <c r="J2" s="789"/>
      <c r="K2" s="789"/>
      <c r="L2" s="789"/>
      <c r="M2" s="796"/>
      <c r="AV2" s="1172" t="s">
        <v>308</v>
      </c>
      <c r="AW2" s="1173"/>
      <c r="AX2" s="1173"/>
      <c r="AY2" s="1174"/>
    </row>
    <row r="3" spans="1:58" s="784" customFormat="1" ht="24.95" customHeight="1" x14ac:dyDescent="0.25">
      <c r="A3" s="1165" t="s">
        <v>7</v>
      </c>
      <c r="B3" s="1178" t="s">
        <v>316</v>
      </c>
      <c r="C3" s="1175" t="s">
        <v>833</v>
      </c>
      <c r="D3" s="1175" t="s">
        <v>420</v>
      </c>
      <c r="E3" s="1168" t="s">
        <v>419</v>
      </c>
      <c r="F3" s="1169"/>
      <c r="G3" s="882"/>
      <c r="H3" s="882"/>
      <c r="I3" s="882"/>
      <c r="J3" s="882"/>
      <c r="K3" s="796"/>
      <c r="L3" s="796"/>
      <c r="M3" s="789"/>
      <c r="N3" s="789"/>
      <c r="V3" s="789"/>
      <c r="W3" s="789"/>
      <c r="X3" s="789"/>
      <c r="Y3" s="789"/>
      <c r="Z3" s="789"/>
      <c r="AA3" s="879" t="s">
        <v>335</v>
      </c>
      <c r="AB3" s="848" t="s">
        <v>439</v>
      </c>
      <c r="AC3" s="879" t="s">
        <v>468</v>
      </c>
      <c r="AD3" s="879" t="s">
        <v>440</v>
      </c>
      <c r="AE3" s="879" t="s">
        <v>441</v>
      </c>
      <c r="AF3" s="848" t="s">
        <v>436</v>
      </c>
      <c r="AG3" s="879" t="s">
        <v>442</v>
      </c>
      <c r="AH3" s="789"/>
      <c r="AI3" s="789"/>
      <c r="AJ3" s="789"/>
      <c r="AK3" s="789"/>
      <c r="AL3" s="789"/>
      <c r="AM3" s="789"/>
      <c r="AN3" s="789"/>
      <c r="AO3" s="789"/>
      <c r="AP3" s="789"/>
      <c r="AQ3" s="789"/>
      <c r="AR3" s="789"/>
      <c r="AS3" s="789"/>
      <c r="AT3" s="789"/>
      <c r="AV3" s="790"/>
      <c r="AW3" s="791"/>
      <c r="AX3" s="791"/>
      <c r="AY3" s="792"/>
    </row>
    <row r="4" spans="1:58" s="784" customFormat="1" ht="21" customHeight="1" x14ac:dyDescent="0.25">
      <c r="A4" s="1166"/>
      <c r="B4" s="1179"/>
      <c r="C4" s="1176"/>
      <c r="D4" s="1176"/>
      <c r="E4" s="832">
        <f>3/100</f>
        <v>0.03</v>
      </c>
      <c r="F4" s="795">
        <f>7/100</f>
        <v>7.0000000000000007E-2</v>
      </c>
      <c r="G4" s="845"/>
      <c r="H4" s="845"/>
      <c r="I4" s="845"/>
      <c r="J4" s="845"/>
      <c r="K4" s="796"/>
      <c r="L4" s="796"/>
      <c r="M4" s="796"/>
      <c r="N4" s="796"/>
      <c r="V4" s="796"/>
      <c r="W4" s="796"/>
      <c r="X4" s="796"/>
      <c r="Y4" s="796"/>
      <c r="Z4" s="796"/>
      <c r="AG4" s="796"/>
      <c r="AH4" s="796"/>
      <c r="AI4" s="796"/>
      <c r="AJ4" s="796"/>
      <c r="AK4" s="796"/>
      <c r="AL4" s="796"/>
      <c r="AM4" s="796"/>
      <c r="AN4" s="796"/>
      <c r="AO4" s="796"/>
      <c r="AP4" s="796"/>
      <c r="AQ4" s="796"/>
      <c r="AR4" s="796"/>
      <c r="AS4" s="796"/>
      <c r="AV4" s="790"/>
      <c r="AW4" s="791"/>
      <c r="AX4" s="791"/>
      <c r="AY4" s="792"/>
    </row>
    <row r="5" spans="1:58" ht="29.25" customHeight="1" x14ac:dyDescent="0.25">
      <c r="A5" s="1167"/>
      <c r="B5" s="1180"/>
      <c r="C5" s="1177"/>
      <c r="D5" s="1177"/>
      <c r="E5" s="1161" t="s">
        <v>422</v>
      </c>
      <c r="F5" s="1162" t="s">
        <v>423</v>
      </c>
      <c r="G5" s="845"/>
      <c r="H5" s="845"/>
      <c r="I5" s="845"/>
      <c r="J5" s="845"/>
      <c r="K5" s="796"/>
      <c r="L5" s="796"/>
      <c r="M5" s="796"/>
      <c r="AA5" s="782"/>
      <c r="AB5" s="782"/>
      <c r="AC5" s="782"/>
      <c r="AD5" s="782"/>
      <c r="AE5" s="782"/>
      <c r="AV5" s="800" t="s">
        <v>312</v>
      </c>
      <c r="AW5" s="800" t="s">
        <v>313</v>
      </c>
      <c r="AX5" s="800" t="s">
        <v>314</v>
      </c>
      <c r="AY5" s="801" t="s">
        <v>315</v>
      </c>
    </row>
    <row r="6" spans="1:58" ht="15" customHeight="1" x14ac:dyDescent="0.25">
      <c r="A6" s="802">
        <v>5</v>
      </c>
      <c r="B6" s="834">
        <v>2022</v>
      </c>
      <c r="C6" s="835">
        <f>TravelTimeSavings!I16</f>
        <v>-1382427.1612535219</v>
      </c>
      <c r="D6" s="1317">
        <f>TravelTimeSavings!J16</f>
        <v>36953588.207367793</v>
      </c>
      <c r="E6" s="841">
        <f t="shared" ref="E6:E8" si="0">D6/(1+$E$4)^A6</f>
        <v>31876489.802190512</v>
      </c>
      <c r="F6" s="807">
        <f t="shared" ref="F6:F8" si="1">D6/(1+$F$4)^A6</f>
        <v>26347397.674183905</v>
      </c>
      <c r="G6" s="883"/>
      <c r="H6" s="883"/>
      <c r="I6" s="883"/>
      <c r="J6" s="883"/>
      <c r="K6" s="796"/>
      <c r="L6" s="796"/>
      <c r="M6" s="796"/>
      <c r="AA6" s="875"/>
      <c r="AB6" s="875"/>
      <c r="AC6" s="875"/>
      <c r="AD6" s="782"/>
      <c r="AV6" s="808"/>
      <c r="AW6" s="808"/>
      <c r="AX6" s="808"/>
      <c r="AY6" s="809"/>
      <c r="BA6" s="1194"/>
      <c r="BB6" s="1195"/>
      <c r="BC6" s="1196"/>
    </row>
    <row r="7" spans="1:58" ht="15" customHeight="1" x14ac:dyDescent="0.25">
      <c r="A7" s="802">
        <v>6</v>
      </c>
      <c r="B7" s="834">
        <v>2023</v>
      </c>
      <c r="C7" s="835">
        <f>TravelTimeSavings!I17</f>
        <v>-1456356.0176459965</v>
      </c>
      <c r="D7" s="1317">
        <f>TravelTimeSavings!J17</f>
        <v>38929751.145142332</v>
      </c>
      <c r="E7" s="841">
        <f t="shared" si="0"/>
        <v>32603053.700669169</v>
      </c>
      <c r="F7" s="807">
        <f t="shared" si="1"/>
        <v>25940536.950677566</v>
      </c>
      <c r="G7" s="883"/>
      <c r="H7" s="883"/>
      <c r="I7" s="883"/>
      <c r="J7" s="883"/>
      <c r="K7" s="796"/>
      <c r="L7" s="796"/>
      <c r="M7" s="796"/>
      <c r="AA7" s="875"/>
      <c r="AB7" s="875"/>
      <c r="AC7" s="875"/>
      <c r="AD7" s="782"/>
      <c r="AV7" s="808"/>
      <c r="AW7" s="808"/>
      <c r="AX7" s="808"/>
      <c r="AY7" s="809"/>
      <c r="BA7" s="1194"/>
      <c r="BB7" s="1195"/>
      <c r="BC7" s="1196"/>
    </row>
    <row r="8" spans="1:58" ht="15" customHeight="1" x14ac:dyDescent="0.25">
      <c r="A8" s="802">
        <v>7</v>
      </c>
      <c r="B8" s="834">
        <v>2024</v>
      </c>
      <c r="C8" s="835">
        <f>TravelTimeSavings!I18</f>
        <v>-1530284.8740384709</v>
      </c>
      <c r="D8" s="1317">
        <f>TravelTimeSavings!J18</f>
        <v>40905914.082916886</v>
      </c>
      <c r="E8" s="841">
        <f t="shared" si="0"/>
        <v>33260251.504560269</v>
      </c>
      <c r="F8" s="807">
        <f t="shared" si="1"/>
        <v>25474147.436689749</v>
      </c>
      <c r="G8" s="883"/>
      <c r="H8" s="883"/>
      <c r="I8" s="883"/>
      <c r="J8" s="883"/>
      <c r="K8" s="796"/>
      <c r="L8" s="796"/>
      <c r="M8" s="796"/>
      <c r="AA8" s="875"/>
      <c r="AB8" s="875"/>
      <c r="AC8" s="875"/>
      <c r="AD8" s="782"/>
      <c r="AV8" s="808"/>
      <c r="AW8" s="808"/>
      <c r="AX8" s="808"/>
      <c r="AY8" s="809"/>
      <c r="BA8" s="1194"/>
      <c r="BB8" s="1195"/>
      <c r="BC8" s="1196"/>
    </row>
    <row r="9" spans="1:58" ht="15" customHeight="1" x14ac:dyDescent="0.25">
      <c r="A9" s="802">
        <v>8</v>
      </c>
      <c r="B9" s="834">
        <v>2025</v>
      </c>
      <c r="C9" s="835">
        <f>TravelTimeSavings!I19</f>
        <v>-1604213.7304309451</v>
      </c>
      <c r="D9" s="1317">
        <f>TravelTimeSavings!J19</f>
        <v>42882077.020691425</v>
      </c>
      <c r="E9" s="841">
        <f t="shared" ref="E9:E24" si="2">D9/(1+$E$4)^A9</f>
        <v>33851507.586695239</v>
      </c>
      <c r="F9" s="807">
        <f t="shared" ref="F9:F24" si="3">D9/(1+$F$4)^A9</f>
        <v>24957759.248701628</v>
      </c>
      <c r="G9" s="883"/>
      <c r="H9" s="883"/>
      <c r="I9" s="883"/>
      <c r="J9" s="883"/>
      <c r="K9" s="796"/>
      <c r="L9" s="796"/>
      <c r="M9" s="796"/>
      <c r="AA9" s="875">
        <f t="shared" ref="AA9:AA24" si="4">E9</f>
        <v>33851507.586695239</v>
      </c>
      <c r="AB9" s="875">
        <f t="shared" ref="AB9:AB24" si="5">F45</f>
        <v>1664475.9748198125</v>
      </c>
      <c r="AC9" s="875">
        <f t="shared" ref="AC9:AC24" si="6">E81+G117</f>
        <v>217766.73846838452</v>
      </c>
      <c r="AD9" s="782"/>
      <c r="AV9" s="808" t="s">
        <v>317</v>
      </c>
      <c r="AW9" s="808" t="s">
        <v>318</v>
      </c>
      <c r="AX9" s="808" t="s">
        <v>319</v>
      </c>
      <c r="AY9" s="809" t="s">
        <v>320</v>
      </c>
      <c r="BA9" s="1194" t="s">
        <v>321</v>
      </c>
      <c r="BB9" s="1195"/>
      <c r="BC9" s="1196"/>
    </row>
    <row r="10" spans="1:58" ht="15" customHeight="1" x14ac:dyDescent="0.25">
      <c r="A10" s="802">
        <v>9</v>
      </c>
      <c r="B10" s="834">
        <v>2026</v>
      </c>
      <c r="C10" s="835">
        <f>TravelTimeSavings!I20</f>
        <v>-1678142.5868234194</v>
      </c>
      <c r="D10" s="1317">
        <f>TravelTimeSavings!J20</f>
        <v>44858239.958465971</v>
      </c>
      <c r="E10" s="841">
        <f t="shared" si="2"/>
        <v>34380105.687653802</v>
      </c>
      <c r="F10" s="807">
        <f t="shared" si="3"/>
        <v>24399910.346346173</v>
      </c>
      <c r="G10" s="883"/>
      <c r="H10" s="883"/>
      <c r="I10" s="883"/>
      <c r="J10" s="883"/>
      <c r="K10" s="796"/>
      <c r="L10" s="796"/>
      <c r="M10" s="796"/>
      <c r="AA10" s="875">
        <f t="shared" si="4"/>
        <v>34380105.687653802</v>
      </c>
      <c r="AB10" s="875">
        <f t="shared" si="5"/>
        <v>1725712.5516130056</v>
      </c>
      <c r="AC10" s="875">
        <f t="shared" si="6"/>
        <v>222509.49594594137</v>
      </c>
      <c r="AV10" s="810" t="e">
        <f>#REF!*$BC$16*260</f>
        <v>#REF!</v>
      </c>
      <c r="AW10" s="811" t="e">
        <f>AV10*13*($BE$11/$BE$10)</f>
        <v>#REF!</v>
      </c>
      <c r="AX10" s="812" t="e">
        <f>AW10</f>
        <v>#REF!</v>
      </c>
      <c r="AY10" s="813" t="e">
        <f>AW10</f>
        <v>#REF!</v>
      </c>
      <c r="BA10" s="1181" t="s">
        <v>336</v>
      </c>
      <c r="BB10" s="1182"/>
      <c r="BC10" s="814" t="e">
        <f>(#REF!/#REF!)^(1/(#REF!-$B$9))-1</f>
        <v>#REF!</v>
      </c>
      <c r="BD10" s="815" t="s">
        <v>322</v>
      </c>
      <c r="BE10" s="815">
        <v>233</v>
      </c>
    </row>
    <row r="11" spans="1:58" ht="15" customHeight="1" x14ac:dyDescent="0.25">
      <c r="A11" s="802">
        <v>10</v>
      </c>
      <c r="B11" s="834">
        <v>2027</v>
      </c>
      <c r="C11" s="835">
        <f>TravelTimeSavings!I21</f>
        <v>-1752071.443215894</v>
      </c>
      <c r="D11" s="1317">
        <f>TravelTimeSavings!J21</f>
        <v>46834402.896240517</v>
      </c>
      <c r="E11" s="841">
        <f t="shared" si="2"/>
        <v>34849194.202914134</v>
      </c>
      <c r="F11" s="807">
        <f t="shared" si="3"/>
        <v>23808235.559856042</v>
      </c>
      <c r="G11" s="883"/>
      <c r="H11" s="883"/>
      <c r="I11" s="883"/>
      <c r="J11" s="883"/>
      <c r="K11" s="796"/>
      <c r="L11" s="796"/>
      <c r="M11" s="796"/>
      <c r="AA11" s="875">
        <f t="shared" si="4"/>
        <v>34849194.202914134</v>
      </c>
      <c r="AB11" s="875">
        <f t="shared" si="5"/>
        <v>1777727.6606396579</v>
      </c>
      <c r="AC11" s="875">
        <f t="shared" si="6"/>
        <v>226920.63091740402</v>
      </c>
      <c r="AV11" s="810" t="e">
        <f>#REF!*$BC$16*260</f>
        <v>#REF!</v>
      </c>
      <c r="AW11" s="811" t="e">
        <f t="shared" ref="AW11:AW24" si="7">AV11*13*($BE$11/$BE$10)</f>
        <v>#REF!</v>
      </c>
      <c r="AX11" s="812" t="e">
        <f t="shared" ref="AX11:AX24" si="8">AW11/(1+$BC$13)^A10</f>
        <v>#REF!</v>
      </c>
      <c r="AY11" s="813" t="e">
        <f t="shared" ref="AY11:AY24" si="9">AW11/(1+$BC$14)^A10</f>
        <v>#REF!</v>
      </c>
      <c r="BA11" s="1181" t="s">
        <v>336</v>
      </c>
      <c r="BB11" s="1182"/>
      <c r="BC11" s="814">
        <v>0.01</v>
      </c>
      <c r="BD11" s="815" t="s">
        <v>323</v>
      </c>
      <c r="BE11" s="815">
        <v>236.5</v>
      </c>
      <c r="BF11" s="782">
        <f>BE11/BE10</f>
        <v>1.0150214592274678</v>
      </c>
    </row>
    <row r="12" spans="1:58" ht="15" customHeight="1" x14ac:dyDescent="0.25">
      <c r="A12" s="802">
        <v>11</v>
      </c>
      <c r="B12" s="834">
        <v>2028</v>
      </c>
      <c r="C12" s="835">
        <f>TravelTimeSavings!I22</f>
        <v>-1826000.2996083684</v>
      </c>
      <c r="D12" s="1317">
        <f>TravelTimeSavings!J22</f>
        <v>48810565.834015071</v>
      </c>
      <c r="E12" s="841">
        <f t="shared" si="2"/>
        <v>35261791.2813171</v>
      </c>
      <c r="F12" s="807">
        <f t="shared" si="3"/>
        <v>23189548.215342615</v>
      </c>
      <c r="G12" s="883"/>
      <c r="H12" s="883"/>
      <c r="I12" s="883"/>
      <c r="J12" s="883"/>
      <c r="K12" s="796"/>
      <c r="L12" s="796"/>
      <c r="M12" s="796"/>
      <c r="AA12" s="875">
        <f t="shared" si="4"/>
        <v>35261791.2813171</v>
      </c>
      <c r="AB12" s="875">
        <f t="shared" si="5"/>
        <v>1819257.89785197</v>
      </c>
      <c r="AC12" s="875">
        <f t="shared" si="6"/>
        <v>232035.89630559454</v>
      </c>
      <c r="AV12" s="810" t="e">
        <f>#REF!*$BC$16*260</f>
        <v>#REF!</v>
      </c>
      <c r="AW12" s="811" t="e">
        <f t="shared" si="7"/>
        <v>#REF!</v>
      </c>
      <c r="AX12" s="812" t="e">
        <f t="shared" si="8"/>
        <v>#REF!</v>
      </c>
      <c r="AY12" s="813" t="e">
        <f t="shared" si="9"/>
        <v>#REF!</v>
      </c>
      <c r="BA12" s="1181" t="s">
        <v>324</v>
      </c>
      <c r="BB12" s="1182"/>
      <c r="BC12" s="816">
        <v>0.17499999999999999</v>
      </c>
      <c r="BD12" s="782" t="s">
        <v>325</v>
      </c>
      <c r="BE12" s="817">
        <v>0.47</v>
      </c>
    </row>
    <row r="13" spans="1:58" ht="15" customHeight="1" x14ac:dyDescent="0.25">
      <c r="A13" s="802">
        <v>12</v>
      </c>
      <c r="B13" s="834">
        <v>2029</v>
      </c>
      <c r="C13" s="835">
        <f>TravelTimeSavings!I23</f>
        <v>-1899929.1560008428</v>
      </c>
      <c r="D13" s="1317">
        <f>TravelTimeSavings!J23</f>
        <v>50786728.771789625</v>
      </c>
      <c r="E13" s="841">
        <f t="shared" si="2"/>
        <v>35620789.74135083</v>
      </c>
      <c r="F13" s="807">
        <f t="shared" si="3"/>
        <v>22549914.945390131</v>
      </c>
      <c r="G13" s="883"/>
      <c r="H13" s="883"/>
      <c r="I13" s="883" t="s">
        <v>475</v>
      </c>
      <c r="J13" s="883"/>
      <c r="K13" s="796"/>
      <c r="L13" s="796"/>
      <c r="M13" s="796"/>
      <c r="AA13" s="875">
        <f t="shared" si="4"/>
        <v>35620789.74135083</v>
      </c>
      <c r="AB13" s="875">
        <f t="shared" si="5"/>
        <v>1867133.7532908635</v>
      </c>
      <c r="AC13" s="875">
        <f t="shared" si="6"/>
        <v>234147.28316046376</v>
      </c>
      <c r="AV13" s="810" t="e">
        <f>#REF!*$BC$16*260</f>
        <v>#REF!</v>
      </c>
      <c r="AW13" s="811" t="e">
        <f t="shared" si="7"/>
        <v>#REF!</v>
      </c>
      <c r="AX13" s="812" t="e">
        <f t="shared" si="8"/>
        <v>#REF!</v>
      </c>
      <c r="AY13" s="813" t="e">
        <f t="shared" si="9"/>
        <v>#REF!</v>
      </c>
      <c r="BA13" s="1181" t="s">
        <v>326</v>
      </c>
      <c r="BB13" s="1182"/>
      <c r="BC13" s="818">
        <v>0.03</v>
      </c>
    </row>
    <row r="14" spans="1:58" ht="15" customHeight="1" x14ac:dyDescent="0.25">
      <c r="A14" s="802">
        <v>13</v>
      </c>
      <c r="B14" s="834">
        <v>2030</v>
      </c>
      <c r="C14" s="835">
        <f>TravelTimeSavings!I24</f>
        <v>-1973858.012393317</v>
      </c>
      <c r="D14" s="1317">
        <f>TravelTimeSavings!J24</f>
        <v>52762891.709564157</v>
      </c>
      <c r="E14" s="841">
        <f t="shared" si="2"/>
        <v>35928961.811542653</v>
      </c>
      <c r="F14" s="807">
        <f t="shared" si="3"/>
        <v>21894724.22726199</v>
      </c>
      <c r="G14" s="883"/>
      <c r="H14" s="883"/>
      <c r="I14" s="883"/>
      <c r="J14" s="883"/>
      <c r="K14" s="796"/>
      <c r="L14" s="796"/>
      <c r="M14" s="796"/>
      <c r="AA14" s="875">
        <f t="shared" si="4"/>
        <v>35928961.811542653</v>
      </c>
      <c r="AB14" s="875">
        <f t="shared" si="5"/>
        <v>1903199.8659674232</v>
      </c>
      <c r="AC14" s="875">
        <f t="shared" si="6"/>
        <v>239327.98486686836</v>
      </c>
      <c r="AV14" s="810" t="e">
        <f>#REF!*$BC$16*260</f>
        <v>#REF!</v>
      </c>
      <c r="AW14" s="811" t="e">
        <f t="shared" si="7"/>
        <v>#REF!</v>
      </c>
      <c r="AX14" s="812" t="e">
        <f t="shared" si="8"/>
        <v>#REF!</v>
      </c>
      <c r="AY14" s="813" t="e">
        <f t="shared" si="9"/>
        <v>#REF!</v>
      </c>
      <c r="BA14" s="1181" t="s">
        <v>327</v>
      </c>
      <c r="BB14" s="1182"/>
      <c r="BC14" s="818">
        <v>7.0000000000000007E-2</v>
      </c>
    </row>
    <row r="15" spans="1:58" ht="15" customHeight="1" x14ac:dyDescent="0.25">
      <c r="A15" s="802">
        <v>14</v>
      </c>
      <c r="B15" s="834">
        <v>2031</v>
      </c>
      <c r="C15" s="835">
        <f>TravelTimeSavings!I25</f>
        <v>-2047786.8687857916</v>
      </c>
      <c r="D15" s="1317">
        <f>TravelTimeSavings!J25</f>
        <v>54739054.647338711</v>
      </c>
      <c r="E15" s="841">
        <f t="shared" si="2"/>
        <v>36188963.701034062</v>
      </c>
      <c r="F15" s="807">
        <f t="shared" si="3"/>
        <v>21228749.149227474</v>
      </c>
      <c r="G15" s="883"/>
      <c r="H15" s="883"/>
      <c r="I15" s="883"/>
      <c r="J15" s="883"/>
      <c r="K15" s="796"/>
      <c r="L15" s="796"/>
      <c r="M15" s="796"/>
      <c r="AA15" s="875">
        <f t="shared" si="4"/>
        <v>36188963.701034062</v>
      </c>
      <c r="AB15" s="875">
        <f t="shared" si="5"/>
        <v>1952942.5124488021</v>
      </c>
      <c r="AC15" s="875">
        <f t="shared" si="6"/>
        <v>242536.74937628023</v>
      </c>
      <c r="AV15" s="810" t="e">
        <f>#REF!*$BC$16*260</f>
        <v>#REF!</v>
      </c>
      <c r="AW15" s="811" t="e">
        <f t="shared" si="7"/>
        <v>#REF!</v>
      </c>
      <c r="AX15" s="812" t="e">
        <f t="shared" si="8"/>
        <v>#REF!</v>
      </c>
      <c r="AY15" s="813" t="e">
        <f t="shared" si="9"/>
        <v>#REF!</v>
      </c>
      <c r="BA15" s="1181" t="s">
        <v>328</v>
      </c>
      <c r="BB15" s="1182"/>
      <c r="BC15" s="818">
        <v>0.21</v>
      </c>
    </row>
    <row r="16" spans="1:58" ht="15" customHeight="1" x14ac:dyDescent="0.25">
      <c r="A16" s="802">
        <v>15</v>
      </c>
      <c r="B16" s="834">
        <v>2032</v>
      </c>
      <c r="C16" s="835">
        <f>TravelTimeSavings!I26</f>
        <v>-2121715.7251782659</v>
      </c>
      <c r="D16" s="1317">
        <f>TravelTimeSavings!J26</f>
        <v>56715217.58511325</v>
      </c>
      <c r="E16" s="841">
        <f t="shared" si="2"/>
        <v>36403340.006209359</v>
      </c>
      <c r="F16" s="807">
        <f t="shared" si="3"/>
        <v>20556204.866874661</v>
      </c>
      <c r="G16" s="883" t="s">
        <v>475</v>
      </c>
      <c r="H16" s="883"/>
      <c r="I16" s="883"/>
      <c r="J16" s="883"/>
      <c r="K16" s="796"/>
      <c r="L16" s="796"/>
      <c r="M16" s="796"/>
      <c r="AA16" s="875">
        <f t="shared" si="4"/>
        <v>36403340.006209359</v>
      </c>
      <c r="AB16" s="875">
        <f t="shared" si="5"/>
        <v>2005280.9028015889</v>
      </c>
      <c r="AC16" s="875">
        <f t="shared" si="6"/>
        <v>245467.99644615475</v>
      </c>
      <c r="AV16" s="810" t="e">
        <f>#REF!*$BC$16*260</f>
        <v>#REF!</v>
      </c>
      <c r="AW16" s="811" t="e">
        <f t="shared" si="7"/>
        <v>#REF!</v>
      </c>
      <c r="AX16" s="812" t="e">
        <f t="shared" si="8"/>
        <v>#REF!</v>
      </c>
      <c r="AY16" s="813" t="e">
        <f t="shared" si="9"/>
        <v>#REF!</v>
      </c>
      <c r="BA16" s="1181" t="s">
        <v>329</v>
      </c>
      <c r="BB16" s="1182"/>
      <c r="BC16" s="819">
        <v>0.01</v>
      </c>
    </row>
    <row r="17" spans="1:56" ht="15" customHeight="1" x14ac:dyDescent="0.25">
      <c r="A17" s="802">
        <v>16</v>
      </c>
      <c r="B17" s="834">
        <v>2033</v>
      </c>
      <c r="C17" s="835">
        <f>TravelTimeSavings!I27</f>
        <v>-2195644.5815707403</v>
      </c>
      <c r="D17" s="1317">
        <f>TravelTimeSavings!J27</f>
        <v>58691380.522887804</v>
      </c>
      <c r="E17" s="841">
        <f t="shared" si="2"/>
        <v>36574527.959051028</v>
      </c>
      <c r="F17" s="807">
        <f t="shared" si="3"/>
        <v>19880801.175547477</v>
      </c>
      <c r="G17" s="883" t="s">
        <v>475</v>
      </c>
      <c r="H17" s="883"/>
      <c r="I17" s="883"/>
      <c r="J17" s="883"/>
      <c r="K17" s="796"/>
      <c r="L17" s="796"/>
      <c r="M17" s="796"/>
      <c r="AA17" s="875">
        <f t="shared" si="4"/>
        <v>36574527.959051028</v>
      </c>
      <c r="AB17" s="875">
        <f t="shared" si="5"/>
        <v>2056199.9632612369</v>
      </c>
      <c r="AC17" s="875">
        <f t="shared" si="6"/>
        <v>248131.89532549225</v>
      </c>
      <c r="AV17" s="810" t="e">
        <f>#REF!*$BC$16*260</f>
        <v>#REF!</v>
      </c>
      <c r="AW17" s="811" t="e">
        <f t="shared" si="7"/>
        <v>#REF!</v>
      </c>
      <c r="AX17" s="812" t="e">
        <f t="shared" si="8"/>
        <v>#REF!</v>
      </c>
      <c r="AY17" s="813" t="e">
        <f t="shared" si="9"/>
        <v>#REF!</v>
      </c>
      <c r="BA17" s="1181" t="s">
        <v>330</v>
      </c>
      <c r="BB17" s="1182"/>
      <c r="BC17" s="820">
        <v>1368000</v>
      </c>
    </row>
    <row r="18" spans="1:56" ht="15" customHeight="1" x14ac:dyDescent="0.25">
      <c r="A18" s="802">
        <v>17</v>
      </c>
      <c r="B18" s="834">
        <v>2034</v>
      </c>
      <c r="C18" s="835">
        <f>TravelTimeSavings!I28</f>
        <v>-2269573.4379632152</v>
      </c>
      <c r="D18" s="1317">
        <f>TravelTimeSavings!J28</f>
        <v>60667543.460662343</v>
      </c>
      <c r="E18" s="841">
        <f t="shared" si="2"/>
        <v>36704861.522703126</v>
      </c>
      <c r="F18" s="807">
        <f t="shared" si="3"/>
        <v>19205790.592014093</v>
      </c>
      <c r="G18" s="883"/>
      <c r="H18" s="883"/>
      <c r="I18" s="883"/>
      <c r="J18" s="883"/>
      <c r="K18" s="796"/>
      <c r="L18" s="796"/>
      <c r="M18" s="796"/>
      <c r="AA18" s="875">
        <f t="shared" si="4"/>
        <v>36704861.522703126</v>
      </c>
      <c r="AB18" s="875">
        <f t="shared" si="5"/>
        <v>2103539.9551676251</v>
      </c>
      <c r="AC18" s="875">
        <f t="shared" si="6"/>
        <v>250538.35368770623</v>
      </c>
      <c r="AV18" s="810" t="e">
        <f>#REF!*$BC$16*260</f>
        <v>#REF!</v>
      </c>
      <c r="AW18" s="811" t="e">
        <f t="shared" si="7"/>
        <v>#REF!</v>
      </c>
      <c r="AX18" s="812" t="e">
        <f t="shared" si="8"/>
        <v>#REF!</v>
      </c>
      <c r="AY18" s="813" t="e">
        <f t="shared" si="9"/>
        <v>#REF!</v>
      </c>
      <c r="BA18" s="1181" t="s">
        <v>331</v>
      </c>
      <c r="BB18" s="1182"/>
      <c r="BC18" s="820">
        <v>1282624.5</v>
      </c>
    </row>
    <row r="19" spans="1:56" ht="15" customHeight="1" x14ac:dyDescent="0.25">
      <c r="A19" s="802">
        <v>18</v>
      </c>
      <c r="B19" s="834">
        <v>2035</v>
      </c>
      <c r="C19" s="835">
        <f>TravelTimeSavings!I29</f>
        <v>-2343502.2943556886</v>
      </c>
      <c r="D19" s="1317">
        <f>TravelTimeSavings!J29</f>
        <v>62643706.398436889</v>
      </c>
      <c r="E19" s="841">
        <f t="shared" si="2"/>
        <v>36796575.339539453</v>
      </c>
      <c r="F19" s="807">
        <f t="shared" si="3"/>
        <v>18534012.307941902</v>
      </c>
      <c r="G19" s="883"/>
      <c r="H19" s="883"/>
      <c r="I19" s="883"/>
      <c r="J19" s="883"/>
      <c r="K19" s="796"/>
      <c r="L19" s="796"/>
      <c r="M19" s="796"/>
      <c r="AA19" s="875">
        <f t="shared" si="4"/>
        <v>36796575.339539453</v>
      </c>
      <c r="AB19" s="875">
        <f t="shared" si="5"/>
        <v>2130021.5066413782</v>
      </c>
      <c r="AC19" s="875">
        <f t="shared" si="6"/>
        <v>254596.0041089819</v>
      </c>
      <c r="AV19" s="810" t="e">
        <f>#REF!*$BC$16*260</f>
        <v>#REF!</v>
      </c>
      <c r="AW19" s="811" t="e">
        <f t="shared" si="7"/>
        <v>#REF!</v>
      </c>
      <c r="AX19" s="812" t="e">
        <f t="shared" si="8"/>
        <v>#REF!</v>
      </c>
      <c r="AY19" s="813" t="e">
        <f t="shared" si="9"/>
        <v>#REF!</v>
      </c>
    </row>
    <row r="20" spans="1:56" ht="15" customHeight="1" x14ac:dyDescent="0.25">
      <c r="A20" s="802">
        <v>19</v>
      </c>
      <c r="B20" s="834">
        <v>2036</v>
      </c>
      <c r="C20" s="835">
        <f>TravelTimeSavings!I30</f>
        <v>-2417431.1507481635</v>
      </c>
      <c r="D20" s="1317">
        <f>TravelTimeSavings!J30</f>
        <v>64619869.336211428</v>
      </c>
      <c r="E20" s="841">
        <f t="shared" si="2"/>
        <v>36851808.53685376</v>
      </c>
      <c r="F20" s="807">
        <f t="shared" si="3"/>
        <v>17867932.349534083</v>
      </c>
      <c r="G20" s="883"/>
      <c r="H20" s="883"/>
      <c r="I20" s="883"/>
      <c r="J20" s="883"/>
      <c r="K20" s="796"/>
      <c r="L20" s="796"/>
      <c r="M20" s="796"/>
      <c r="AA20" s="875">
        <f t="shared" si="4"/>
        <v>36851808.53685376</v>
      </c>
      <c r="AB20" s="875">
        <f t="shared" si="5"/>
        <v>2176452.587301637</v>
      </c>
      <c r="AC20" s="875">
        <f t="shared" si="6"/>
        <v>256530.06080960348</v>
      </c>
      <c r="AV20" s="810" t="e">
        <f>#REF!*$BC$16*260</f>
        <v>#REF!</v>
      </c>
      <c r="AW20" s="811" t="e">
        <f t="shared" si="7"/>
        <v>#REF!</v>
      </c>
      <c r="AX20" s="812" t="e">
        <f t="shared" si="8"/>
        <v>#REF!</v>
      </c>
      <c r="AY20" s="813" t="e">
        <f t="shared" si="9"/>
        <v>#REF!</v>
      </c>
      <c r="BA20" s="1183" t="s">
        <v>0</v>
      </c>
      <c r="BB20" s="1184"/>
      <c r="BC20" s="1184"/>
      <c r="BD20" s="1185"/>
    </row>
    <row r="21" spans="1:56" ht="15" customHeight="1" x14ac:dyDescent="0.25">
      <c r="A21" s="802">
        <v>20</v>
      </c>
      <c r="B21" s="834">
        <v>2037</v>
      </c>
      <c r="C21" s="835">
        <f>TravelTimeSavings!I31</f>
        <v>-2491360.0071406383</v>
      </c>
      <c r="D21" s="1317">
        <f>TravelTimeSavings!J31</f>
        <v>66596032.273985989</v>
      </c>
      <c r="E21" s="841">
        <f t="shared" si="2"/>
        <v>36872608.395116694</v>
      </c>
      <c r="F21" s="807">
        <f t="shared" si="3"/>
        <v>17209680.251603678</v>
      </c>
      <c r="G21" s="883"/>
      <c r="H21" s="883"/>
      <c r="I21" s="883"/>
      <c r="J21" s="883" t="s">
        <v>475</v>
      </c>
      <c r="K21" s="796"/>
      <c r="L21" s="796"/>
      <c r="M21" s="796"/>
      <c r="AA21" s="875">
        <f t="shared" si="4"/>
        <v>36872608.395116694</v>
      </c>
      <c r="AB21" s="875">
        <f t="shared" si="5"/>
        <v>2201956.1196034509</v>
      </c>
      <c r="AC21" s="875">
        <f t="shared" si="6"/>
        <v>258233.66841383802</v>
      </c>
      <c r="AV21" s="810" t="e">
        <f>#REF!*$BC$16*260</f>
        <v>#REF!</v>
      </c>
      <c r="AW21" s="811" t="e">
        <f t="shared" si="7"/>
        <v>#REF!</v>
      </c>
      <c r="AX21" s="812" t="e">
        <f t="shared" si="8"/>
        <v>#REF!</v>
      </c>
      <c r="AY21" s="813" t="e">
        <f t="shared" si="9"/>
        <v>#REF!</v>
      </c>
      <c r="BA21" s="821" t="s">
        <v>208</v>
      </c>
      <c r="BB21" s="822" t="s">
        <v>332</v>
      </c>
      <c r="BC21" s="823"/>
      <c r="BD21" s="824"/>
    </row>
    <row r="22" spans="1:56" ht="15" customHeight="1" x14ac:dyDescent="0.25">
      <c r="A22" s="802">
        <v>21</v>
      </c>
      <c r="B22" s="834">
        <v>2038</v>
      </c>
      <c r="C22" s="835">
        <f>TravelTimeSavings!I32</f>
        <v>-2565288.8635331122</v>
      </c>
      <c r="D22" s="1317">
        <f>TravelTimeSavings!J32</f>
        <v>68572195.211760536</v>
      </c>
      <c r="E22" s="841">
        <f t="shared" si="2"/>
        <v>36860933.883576803</v>
      </c>
      <c r="F22" s="807">
        <f t="shared" si="3"/>
        <v>16561082.530262709</v>
      </c>
      <c r="G22" s="883"/>
      <c r="H22" s="883"/>
      <c r="I22" s="883"/>
      <c r="J22" s="883"/>
      <c r="K22" s="796"/>
      <c r="L22" s="796"/>
      <c r="M22" s="796"/>
      <c r="AA22" s="875">
        <f t="shared" si="4"/>
        <v>36860933.883576803</v>
      </c>
      <c r="AB22" s="875">
        <f t="shared" si="5"/>
        <v>2248541.9851703518</v>
      </c>
      <c r="AC22" s="875">
        <f t="shared" si="6"/>
        <v>259715.75029081316</v>
      </c>
      <c r="AV22" s="810" t="e">
        <f>#REF!*$BC$16*260</f>
        <v>#REF!</v>
      </c>
      <c r="AW22" s="811" t="e">
        <f t="shared" si="7"/>
        <v>#REF!</v>
      </c>
      <c r="AX22" s="812" t="e">
        <f t="shared" si="8"/>
        <v>#REF!</v>
      </c>
      <c r="AY22" s="813" t="e">
        <f t="shared" si="9"/>
        <v>#REF!</v>
      </c>
      <c r="BA22" s="821" t="s">
        <v>206</v>
      </c>
      <c r="BB22" s="822" t="s">
        <v>316</v>
      </c>
      <c r="BC22" s="823"/>
      <c r="BD22" s="824"/>
    </row>
    <row r="23" spans="1:56" ht="15" customHeight="1" x14ac:dyDescent="0.25">
      <c r="A23" s="802">
        <v>22</v>
      </c>
      <c r="B23" s="834">
        <v>2039</v>
      </c>
      <c r="C23" s="835">
        <f>TravelTimeSavings!I33</f>
        <v>-2639217.7199255871</v>
      </c>
      <c r="D23" s="1317">
        <f>TravelTimeSavings!J33</f>
        <v>70548358.14953509</v>
      </c>
      <c r="E23" s="841">
        <f t="shared" si="2"/>
        <v>36818659.067821205</v>
      </c>
      <c r="F23" s="807">
        <f t="shared" si="3"/>
        <v>15923693.216139859</v>
      </c>
      <c r="G23" s="883"/>
      <c r="H23" s="883"/>
      <c r="I23" s="883"/>
      <c r="J23" s="883"/>
      <c r="K23" s="796"/>
      <c r="L23" s="796"/>
      <c r="M23" s="796"/>
      <c r="AA23" s="875">
        <f t="shared" si="4"/>
        <v>36818659.067821205</v>
      </c>
      <c r="AB23" s="875">
        <f t="shared" si="5"/>
        <v>2285298.0802891543</v>
      </c>
      <c r="AC23" s="875">
        <f t="shared" si="6"/>
        <v>262724.61749527178</v>
      </c>
      <c r="AV23" s="810" t="e">
        <f>#REF!*$BC$16*260</f>
        <v>#REF!</v>
      </c>
      <c r="AW23" s="811" t="e">
        <f t="shared" si="7"/>
        <v>#REF!</v>
      </c>
      <c r="AX23" s="812" t="e">
        <f t="shared" si="8"/>
        <v>#REF!</v>
      </c>
      <c r="AY23" s="813" t="e">
        <f t="shared" si="9"/>
        <v>#REF!</v>
      </c>
      <c r="BA23" s="821" t="s">
        <v>204</v>
      </c>
      <c r="BB23" s="822" t="s">
        <v>333</v>
      </c>
      <c r="BC23" s="823"/>
      <c r="BD23" s="824"/>
    </row>
    <row r="24" spans="1:56" ht="15" customHeight="1" x14ac:dyDescent="0.25">
      <c r="A24" s="802">
        <v>23</v>
      </c>
      <c r="B24" s="834">
        <v>2040</v>
      </c>
      <c r="C24" s="835">
        <f>TravelTimeSavings!I34</f>
        <v>-2713146.57631806</v>
      </c>
      <c r="D24" s="1317">
        <f>TravelTimeSavings!J34</f>
        <v>72524521.087309599</v>
      </c>
      <c r="E24" s="841">
        <f t="shared" si="2"/>
        <v>36747576.39375516</v>
      </c>
      <c r="F24" s="807">
        <f t="shared" si="3"/>
        <v>15298821.689472074</v>
      </c>
      <c r="G24" s="883"/>
      <c r="H24" s="883"/>
      <c r="I24" s="883"/>
      <c r="J24" s="883"/>
      <c r="K24" s="796"/>
      <c r="L24" s="796"/>
      <c r="M24" s="796"/>
      <c r="AA24" s="875">
        <f t="shared" si="4"/>
        <v>36747576.39375516</v>
      </c>
      <c r="AB24" s="875">
        <f t="shared" si="5"/>
        <v>2333025.8262020713</v>
      </c>
      <c r="AC24" s="875">
        <f t="shared" si="6"/>
        <v>263783.72153353307</v>
      </c>
      <c r="AV24" s="810" t="e">
        <f>#REF!*$BC$16*260</f>
        <v>#REF!</v>
      </c>
      <c r="AW24" s="811" t="e">
        <f t="shared" si="7"/>
        <v>#REF!</v>
      </c>
      <c r="AX24" s="812" t="e">
        <f t="shared" si="8"/>
        <v>#REF!</v>
      </c>
      <c r="AY24" s="813" t="e">
        <f t="shared" si="9"/>
        <v>#REF!</v>
      </c>
      <c r="BA24" s="821" t="s">
        <v>309</v>
      </c>
      <c r="BB24" s="822" t="s">
        <v>334</v>
      </c>
      <c r="BC24" s="823"/>
      <c r="BD24" s="824"/>
    </row>
    <row r="25" spans="1:56" ht="15" customHeight="1" x14ac:dyDescent="0.25">
      <c r="A25" s="802">
        <v>24</v>
      </c>
      <c r="B25" s="834">
        <v>2041</v>
      </c>
      <c r="C25" s="835">
        <f>TravelTimeSavings!I35</f>
        <v>-2713146.57631806</v>
      </c>
      <c r="D25" s="1317">
        <f>TravelTimeSavings!J35</f>
        <v>72524521.087309599</v>
      </c>
      <c r="E25" s="841">
        <f t="shared" ref="E25" si="10">D25/(1+$E$4)^A25</f>
        <v>35677258.634713754</v>
      </c>
      <c r="F25" s="807">
        <f t="shared" ref="F25" si="11">D25/(1+$F$4)^A25</f>
        <v>14297964.195768293</v>
      </c>
      <c r="G25" s="883"/>
      <c r="H25" s="883"/>
      <c r="I25" s="883"/>
      <c r="J25" s="883"/>
      <c r="K25" s="796"/>
      <c r="L25" s="796"/>
      <c r="M25" s="796"/>
      <c r="AA25" s="875"/>
      <c r="AB25" s="875"/>
      <c r="AC25" s="875"/>
      <c r="AV25" s="810"/>
      <c r="AW25" s="811"/>
      <c r="AX25" s="812"/>
      <c r="AY25" s="813"/>
      <c r="BA25" s="941"/>
      <c r="BB25" s="1084"/>
      <c r="BC25" s="1085"/>
      <c r="BD25" s="1086"/>
    </row>
    <row r="26" spans="1:56" ht="15" customHeight="1" x14ac:dyDescent="0.25">
      <c r="A26" s="802">
        <v>25</v>
      </c>
      <c r="B26" s="834">
        <v>2042</v>
      </c>
      <c r="C26" s="835">
        <f>TravelTimeSavings!I36</f>
        <v>-2713146.57631806</v>
      </c>
      <c r="D26" s="1317">
        <f>TravelTimeSavings!J36</f>
        <v>72524521.087309599</v>
      </c>
      <c r="E26" s="841">
        <f t="shared" ref="E26:E34" si="12">D26/(1+$E$4)^A26</f>
        <v>34638115.179333739</v>
      </c>
      <c r="F26" s="807">
        <f t="shared" ref="F26:F34" si="13">D26/(1+$F$4)^A26</f>
        <v>13362583.360531114</v>
      </c>
      <c r="G26" s="883"/>
      <c r="H26" s="883"/>
      <c r="I26" s="883"/>
      <c r="J26" s="883"/>
      <c r="K26" s="796"/>
      <c r="L26" s="796"/>
      <c r="M26" s="796"/>
      <c r="AA26" s="875"/>
      <c r="AB26" s="875"/>
      <c r="AC26" s="875"/>
      <c r="AV26" s="810"/>
      <c r="AW26" s="811"/>
      <c r="AX26" s="812"/>
      <c r="AY26" s="813"/>
      <c r="BA26" s="941"/>
      <c r="BB26" s="1084"/>
      <c r="BC26" s="1085"/>
      <c r="BD26" s="1086"/>
    </row>
    <row r="27" spans="1:56" ht="15" customHeight="1" x14ac:dyDescent="0.25">
      <c r="A27" s="802">
        <v>26</v>
      </c>
      <c r="B27" s="834">
        <v>2043</v>
      </c>
      <c r="C27" s="835">
        <f>TravelTimeSavings!I37</f>
        <v>-2713146.57631806</v>
      </c>
      <c r="D27" s="1317">
        <f>TravelTimeSavings!J37</f>
        <v>72524521.087309599</v>
      </c>
      <c r="E27" s="841">
        <f t="shared" si="12"/>
        <v>33629238.038188092</v>
      </c>
      <c r="F27" s="807">
        <f t="shared" si="13"/>
        <v>12488395.664047772</v>
      </c>
      <c r="G27" s="883"/>
      <c r="H27" s="883"/>
      <c r="I27" s="883"/>
      <c r="J27" s="883"/>
      <c r="K27" s="796"/>
      <c r="L27" s="796"/>
      <c r="M27" s="796"/>
      <c r="AA27" s="875"/>
      <c r="AB27" s="875"/>
      <c r="AC27" s="875"/>
      <c r="AV27" s="810"/>
      <c r="AW27" s="811"/>
      <c r="AX27" s="812"/>
      <c r="AY27" s="813"/>
      <c r="BA27" s="941"/>
      <c r="BB27" s="1084"/>
      <c r="BC27" s="1085"/>
      <c r="BD27" s="1086"/>
    </row>
    <row r="28" spans="1:56" ht="15" customHeight="1" x14ac:dyDescent="0.25">
      <c r="A28" s="802">
        <v>27</v>
      </c>
      <c r="B28" s="834">
        <v>2044</v>
      </c>
      <c r="C28" s="835">
        <f>TravelTimeSavings!I38</f>
        <v>-2713146.57631806</v>
      </c>
      <c r="D28" s="1317">
        <f>TravelTimeSavings!J38</f>
        <v>72524521.087309599</v>
      </c>
      <c r="E28" s="841">
        <f t="shared" si="12"/>
        <v>32649745.668143783</v>
      </c>
      <c r="F28" s="807">
        <f t="shared" si="13"/>
        <v>11671397.816867074</v>
      </c>
      <c r="G28" s="883"/>
      <c r="H28" s="883"/>
      <c r="I28" s="883"/>
      <c r="J28" s="883"/>
      <c r="K28" s="796"/>
      <c r="L28" s="796"/>
      <c r="M28" s="796"/>
      <c r="AA28" s="875"/>
      <c r="AB28" s="875"/>
      <c r="AC28" s="875"/>
      <c r="AV28" s="810"/>
      <c r="AW28" s="811"/>
      <c r="AX28" s="812"/>
      <c r="AY28" s="813"/>
      <c r="BA28" s="941"/>
      <c r="BB28" s="1084"/>
      <c r="BC28" s="1085"/>
      <c r="BD28" s="1086"/>
    </row>
    <row r="29" spans="1:56" ht="15" customHeight="1" x14ac:dyDescent="0.25">
      <c r="A29" s="802">
        <v>28</v>
      </c>
      <c r="B29" s="834">
        <v>2045</v>
      </c>
      <c r="C29" s="835">
        <f>TravelTimeSavings!I39</f>
        <v>-2713146.57631806</v>
      </c>
      <c r="D29" s="1317">
        <f>TravelTimeSavings!J39</f>
        <v>72524521.087309599</v>
      </c>
      <c r="E29" s="841">
        <f t="shared" si="12"/>
        <v>31698782.202081345</v>
      </c>
      <c r="F29" s="807">
        <f t="shared" si="13"/>
        <v>10907848.426978575</v>
      </c>
      <c r="G29" s="883"/>
      <c r="H29" s="883"/>
      <c r="I29" s="883"/>
      <c r="J29" s="883"/>
      <c r="K29" s="796"/>
      <c r="L29" s="796"/>
      <c r="M29" s="796"/>
      <c r="AA29" s="875"/>
      <c r="AB29" s="875"/>
      <c r="AC29" s="875"/>
      <c r="AV29" s="810"/>
      <c r="AW29" s="811"/>
      <c r="AX29" s="812"/>
      <c r="AY29" s="813"/>
      <c r="BA29" s="941"/>
      <c r="BB29" s="1084"/>
      <c r="BC29" s="1085"/>
      <c r="BD29" s="1086"/>
    </row>
    <row r="30" spans="1:56" ht="15" customHeight="1" x14ac:dyDescent="0.25">
      <c r="A30" s="802">
        <v>29</v>
      </c>
      <c r="B30" s="834">
        <v>2046</v>
      </c>
      <c r="C30" s="835">
        <f>TravelTimeSavings!I40</f>
        <v>-2713146.57631806</v>
      </c>
      <c r="D30" s="1317">
        <f>TravelTimeSavings!J40</f>
        <v>72524521.087309599</v>
      </c>
      <c r="E30" s="841">
        <f t="shared" si="12"/>
        <v>30775516.701049853</v>
      </c>
      <c r="F30" s="807">
        <f t="shared" si="13"/>
        <v>10194250.866335116</v>
      </c>
      <c r="G30" s="883"/>
      <c r="H30" s="883"/>
      <c r="I30" s="883"/>
      <c r="J30" s="883"/>
      <c r="K30" s="796"/>
      <c r="L30" s="796"/>
      <c r="M30" s="796"/>
      <c r="AA30" s="875"/>
      <c r="AB30" s="875"/>
      <c r="AC30" s="875"/>
      <c r="AV30" s="810"/>
      <c r="AW30" s="811"/>
      <c r="AX30" s="812"/>
      <c r="AY30" s="813"/>
      <c r="BA30" s="941"/>
      <c r="BB30" s="1084"/>
      <c r="BC30" s="1085"/>
      <c r="BD30" s="1086"/>
    </row>
    <row r="31" spans="1:56" ht="15" customHeight="1" x14ac:dyDescent="0.25">
      <c r="A31" s="802">
        <v>30</v>
      </c>
      <c r="B31" s="834">
        <v>2047</v>
      </c>
      <c r="C31" s="835">
        <f>TravelTimeSavings!I41</f>
        <v>-2713146.57631806</v>
      </c>
      <c r="D31" s="1317">
        <f>TravelTimeSavings!J41</f>
        <v>72524521.087309599</v>
      </c>
      <c r="E31" s="841">
        <f t="shared" si="12"/>
        <v>29879142.428203739</v>
      </c>
      <c r="F31" s="807">
        <f t="shared" si="13"/>
        <v>9527337.258257119</v>
      </c>
      <c r="G31" s="883"/>
      <c r="H31" s="883" t="s">
        <v>475</v>
      </c>
      <c r="I31" s="883"/>
      <c r="J31" s="883"/>
      <c r="K31" s="796"/>
      <c r="L31" s="796"/>
      <c r="M31" s="796"/>
      <c r="AA31" s="875"/>
      <c r="AB31" s="875"/>
      <c r="AC31" s="875"/>
      <c r="AV31" s="810"/>
      <c r="AW31" s="811"/>
      <c r="AX31" s="812"/>
      <c r="AY31" s="813"/>
      <c r="BA31" s="941"/>
      <c r="BB31" s="1084"/>
      <c r="BC31" s="1085"/>
      <c r="BD31" s="1086"/>
    </row>
    <row r="32" spans="1:56" ht="15" customHeight="1" x14ac:dyDescent="0.25">
      <c r="A32" s="802">
        <v>31</v>
      </c>
      <c r="B32" s="834">
        <v>2048</v>
      </c>
      <c r="C32" s="835">
        <f>TravelTimeSavings!I42</f>
        <v>-2713146.57631806</v>
      </c>
      <c r="D32" s="1317">
        <f>TravelTimeSavings!J42</f>
        <v>72524521.087309599</v>
      </c>
      <c r="E32" s="841">
        <f t="shared" si="12"/>
        <v>29008876.143887121</v>
      </c>
      <c r="F32" s="807">
        <f t="shared" si="13"/>
        <v>8904053.5123898294</v>
      </c>
      <c r="G32" s="883"/>
      <c r="H32" s="883"/>
      <c r="I32" s="883"/>
      <c r="J32" s="883"/>
      <c r="K32" s="796"/>
      <c r="L32" s="796"/>
      <c r="M32" s="796"/>
      <c r="AA32" s="875"/>
      <c r="AB32" s="875"/>
      <c r="AC32" s="875"/>
      <c r="AV32" s="810"/>
      <c r="AW32" s="811"/>
      <c r="AX32" s="812"/>
      <c r="AY32" s="813"/>
      <c r="BA32" s="941"/>
      <c r="BB32" s="1084"/>
      <c r="BC32" s="1085"/>
      <c r="BD32" s="1086"/>
    </row>
    <row r="33" spans="1:56" ht="15" customHeight="1" x14ac:dyDescent="0.25">
      <c r="A33" s="802">
        <v>32</v>
      </c>
      <c r="B33" s="834">
        <v>2049</v>
      </c>
      <c r="C33" s="835">
        <f>TravelTimeSavings!I43</f>
        <v>-2713146.57631806</v>
      </c>
      <c r="D33" s="1317">
        <f>TravelTimeSavings!J43</f>
        <v>72524521.087309599</v>
      </c>
      <c r="E33" s="841">
        <f t="shared" si="12"/>
        <v>28163957.421249636</v>
      </c>
      <c r="F33" s="807">
        <f t="shared" si="13"/>
        <v>8321545.3386820843</v>
      </c>
      <c r="G33" s="883"/>
      <c r="H33" s="883"/>
      <c r="I33" s="883"/>
      <c r="J33" s="883"/>
      <c r="K33" s="796"/>
      <c r="L33" s="796"/>
      <c r="M33" s="796"/>
      <c r="AA33" s="875"/>
      <c r="AB33" s="875"/>
      <c r="AC33" s="875"/>
      <c r="AV33" s="810"/>
      <c r="AW33" s="811"/>
      <c r="AX33" s="812"/>
      <c r="AY33" s="813"/>
      <c r="BA33" s="941"/>
      <c r="BB33" s="1084"/>
      <c r="BC33" s="1085"/>
      <c r="BD33" s="1086"/>
    </row>
    <row r="34" spans="1:56" ht="15" customHeight="1" x14ac:dyDescent="0.25">
      <c r="A34" s="802">
        <v>33</v>
      </c>
      <c r="B34" s="834">
        <v>2050</v>
      </c>
      <c r="C34" s="835">
        <f>TravelTimeSavings!I44</f>
        <v>-2713146.57631806</v>
      </c>
      <c r="D34" s="1317">
        <f>TravelTimeSavings!J44</f>
        <v>72524521.087309599</v>
      </c>
      <c r="E34" s="841">
        <f t="shared" si="12"/>
        <v>27343647.981795762</v>
      </c>
      <c r="F34" s="807">
        <f t="shared" si="13"/>
        <v>7777145.176338396</v>
      </c>
      <c r="G34" s="883"/>
      <c r="H34" s="883"/>
      <c r="I34" s="883"/>
      <c r="J34" s="883"/>
      <c r="K34" s="796"/>
      <c r="L34" s="796"/>
      <c r="M34" s="796"/>
      <c r="AA34" s="875"/>
      <c r="AB34" s="875"/>
      <c r="AC34" s="875"/>
      <c r="AV34" s="810"/>
      <c r="AW34" s="811"/>
      <c r="AX34" s="812"/>
      <c r="AY34" s="813"/>
      <c r="BA34" s="941"/>
      <c r="BB34" s="1084"/>
      <c r="BC34" s="1085"/>
      <c r="BD34" s="1086"/>
    </row>
    <row r="35" spans="1:56" ht="15" customHeight="1" thickBot="1" x14ac:dyDescent="0.3">
      <c r="A35" s="825" t="s">
        <v>387</v>
      </c>
      <c r="B35" s="884"/>
      <c r="C35" s="855">
        <f>SUM(C6:C34)</f>
        <v>-66039416.270110667</v>
      </c>
      <c r="D35" s="826">
        <f>SUM(D6:D34)</f>
        <v>1765287249.1725314</v>
      </c>
      <c r="E35" s="840">
        <f>SUM(E6:E34)</f>
        <v>987916280.52320111</v>
      </c>
      <c r="F35" s="1066">
        <f>SUM(F6:F34)</f>
        <v>508281464.34926301</v>
      </c>
      <c r="G35" s="881"/>
      <c r="H35" s="881"/>
      <c r="I35" s="881"/>
      <c r="J35" s="881"/>
      <c r="K35" s="796"/>
      <c r="L35" s="796"/>
      <c r="M35" s="796"/>
      <c r="AA35" s="878">
        <f>SUM(AA9:AA34)</f>
        <v>576712205.11713445</v>
      </c>
      <c r="AB35" s="878">
        <f>SUM(AB9:AB34)</f>
        <v>32250767.143070031</v>
      </c>
      <c r="AC35" s="878">
        <f>SUM(AC9:AC34)</f>
        <v>3914966.8471523314</v>
      </c>
      <c r="AV35" s="810"/>
      <c r="AW35" s="811"/>
      <c r="AX35" s="812"/>
      <c r="AY35" s="813"/>
      <c r="BA35" s="821"/>
      <c r="BB35" s="822"/>
      <c r="BC35" s="823"/>
      <c r="BD35" s="824"/>
    </row>
    <row r="36" spans="1:56" ht="14.25" x14ac:dyDescent="0.25">
      <c r="AV36" s="828"/>
      <c r="AW36" s="828"/>
      <c r="AX36" s="829"/>
      <c r="AY36" s="829"/>
      <c r="BA36" s="821"/>
      <c r="BB36" s="822"/>
      <c r="BC36" s="823"/>
      <c r="BD36" s="824"/>
    </row>
    <row r="37" spans="1:56" ht="15.75" customHeight="1" thickBot="1" x14ac:dyDescent="0.3">
      <c r="A37" s="1170" t="s">
        <v>711</v>
      </c>
      <c r="B37" s="1170"/>
      <c r="C37" s="1170"/>
      <c r="D37" s="1170"/>
      <c r="E37" s="1170"/>
      <c r="F37" s="1170"/>
      <c r="G37" s="1170"/>
      <c r="H37" s="843"/>
      <c r="I37" s="843"/>
      <c r="J37" s="843"/>
      <c r="K37" s="843"/>
      <c r="L37" s="843"/>
      <c r="AV37" s="828"/>
      <c r="AW37" s="828"/>
      <c r="AX37" s="829"/>
      <c r="AY37" s="829"/>
      <c r="BA37" s="821"/>
      <c r="BB37" s="822"/>
      <c r="BC37" s="823"/>
      <c r="BD37" s="824"/>
    </row>
    <row r="38" spans="1:56" ht="14.25" x14ac:dyDescent="0.25">
      <c r="A38" s="785" t="s">
        <v>208</v>
      </c>
      <c r="B38" s="786" t="s">
        <v>206</v>
      </c>
      <c r="C38" s="785" t="s">
        <v>204</v>
      </c>
      <c r="D38" s="787" t="s">
        <v>309</v>
      </c>
      <c r="E38" s="787" t="s">
        <v>310</v>
      </c>
      <c r="F38" s="787" t="s">
        <v>311</v>
      </c>
      <c r="G38" s="844" t="s">
        <v>312</v>
      </c>
      <c r="H38" s="781"/>
      <c r="I38" s="781"/>
      <c r="J38" s="781"/>
      <c r="K38" s="781"/>
      <c r="L38" s="781"/>
      <c r="AN38" s="782"/>
      <c r="AO38" s="783"/>
      <c r="AP38" s="828"/>
      <c r="AQ38" s="828"/>
      <c r="AR38" s="829"/>
      <c r="AS38" s="829"/>
      <c r="AT38" s="784"/>
      <c r="AU38" s="821"/>
      <c r="AV38" s="822"/>
      <c r="AW38" s="823"/>
      <c r="AX38" s="824"/>
      <c r="AZ38" s="782"/>
    </row>
    <row r="39" spans="1:56" ht="32.25" customHeight="1" x14ac:dyDescent="0.25">
      <c r="A39" s="1165" t="s">
        <v>7</v>
      </c>
      <c r="B39" s="1178" t="s">
        <v>316</v>
      </c>
      <c r="C39" s="1323" t="s">
        <v>816</v>
      </c>
      <c r="D39" s="1326"/>
      <c r="E39" s="1327"/>
      <c r="F39" s="1168" t="s">
        <v>817</v>
      </c>
      <c r="G39" s="1169"/>
      <c r="H39" s="781"/>
      <c r="I39" s="781"/>
      <c r="J39" s="781"/>
      <c r="K39" s="781"/>
      <c r="L39" s="781"/>
      <c r="AN39" s="782"/>
      <c r="AO39" s="783"/>
      <c r="AP39" s="828"/>
      <c r="AQ39" s="828"/>
      <c r="AR39" s="829"/>
      <c r="AS39" s="829"/>
      <c r="AT39" s="784"/>
      <c r="AU39" s="821"/>
      <c r="AV39" s="822"/>
      <c r="AW39" s="823"/>
      <c r="AX39" s="824"/>
      <c r="AZ39" s="782"/>
    </row>
    <row r="40" spans="1:56" ht="15" customHeight="1" x14ac:dyDescent="0.25">
      <c r="A40" s="1166"/>
      <c r="B40" s="1179"/>
      <c r="C40" s="1319" t="s">
        <v>805</v>
      </c>
      <c r="D40" s="1321" t="s">
        <v>160</v>
      </c>
      <c r="E40" s="1324" t="s">
        <v>5</v>
      </c>
      <c r="F40" s="832">
        <f>3/100</f>
        <v>0.03</v>
      </c>
      <c r="G40" s="795">
        <f>7/100</f>
        <v>7.0000000000000007E-2</v>
      </c>
      <c r="H40" s="781"/>
      <c r="I40" s="781"/>
      <c r="J40" s="781"/>
      <c r="K40" s="781"/>
      <c r="L40" s="781"/>
      <c r="AN40" s="782"/>
      <c r="AO40" s="783"/>
      <c r="AP40" s="828"/>
      <c r="AQ40" s="828"/>
      <c r="AR40" s="829"/>
      <c r="AS40" s="829"/>
      <c r="AT40" s="784"/>
      <c r="AU40" s="821"/>
      <c r="AV40" s="822"/>
      <c r="AW40" s="823"/>
      <c r="AX40" s="824"/>
      <c r="AZ40" s="782"/>
    </row>
    <row r="41" spans="1:56" ht="28.5" x14ac:dyDescent="0.25">
      <c r="A41" s="1167"/>
      <c r="B41" s="1180"/>
      <c r="C41" s="1320"/>
      <c r="D41" s="1322"/>
      <c r="E41" s="1325"/>
      <c r="F41" s="1161" t="s">
        <v>422</v>
      </c>
      <c r="G41" s="1162" t="s">
        <v>423</v>
      </c>
      <c r="H41" s="781"/>
      <c r="I41" s="781" t="s">
        <v>475</v>
      </c>
      <c r="J41" s="781"/>
      <c r="K41" s="781"/>
      <c r="L41" s="781"/>
      <c r="AN41" s="782"/>
      <c r="AO41" s="783"/>
      <c r="AP41" s="828"/>
      <c r="AQ41" s="828"/>
      <c r="AR41" s="829"/>
      <c r="AS41" s="829"/>
      <c r="AT41" s="784"/>
      <c r="AU41" s="821"/>
      <c r="AV41" s="822"/>
      <c r="AW41" s="823"/>
      <c r="AX41" s="824"/>
      <c r="AZ41" s="782"/>
    </row>
    <row r="42" spans="1:56" ht="14.25" x14ac:dyDescent="0.25">
      <c r="A42" s="802">
        <v>5</v>
      </c>
      <c r="B42" s="803">
        <v>2022</v>
      </c>
      <c r="C42" s="1318">
        <f>VOC!G14</f>
        <v>1255995.4988990191</v>
      </c>
      <c r="D42" s="836">
        <f>VOC!H14</f>
        <v>488553.89878164016</v>
      </c>
      <c r="E42" s="836">
        <f>VOC!I14</f>
        <v>1744549.3976806593</v>
      </c>
      <c r="F42" s="806">
        <f>E42/(1+$E$4)^A42</f>
        <v>1504863.6352314393</v>
      </c>
      <c r="G42" s="807">
        <f>E42/(1+$F$4)^A42</f>
        <v>1243839.6099728681</v>
      </c>
      <c r="H42" s="781"/>
      <c r="I42" s="781" t="s">
        <v>475</v>
      </c>
      <c r="J42" s="781"/>
      <c r="K42" s="781"/>
      <c r="L42" s="781"/>
      <c r="AN42" s="782"/>
      <c r="AO42" s="783"/>
      <c r="AP42" s="828"/>
      <c r="AQ42" s="828"/>
      <c r="AR42" s="829"/>
      <c r="AS42" s="829"/>
      <c r="AT42" s="784"/>
      <c r="AU42" s="821"/>
      <c r="AV42" s="822"/>
      <c r="AW42" s="823"/>
      <c r="AX42" s="824"/>
      <c r="AZ42" s="782"/>
    </row>
    <row r="43" spans="1:56" ht="14.25" x14ac:dyDescent="0.25">
      <c r="A43" s="802">
        <v>6</v>
      </c>
      <c r="B43" s="803">
        <v>2023</v>
      </c>
      <c r="C43" s="1318">
        <f>VOC!G15</f>
        <v>1344406.6310582601</v>
      </c>
      <c r="D43" s="836">
        <f>VOC!H15</f>
        <v>523093.51963609416</v>
      </c>
      <c r="E43" s="836">
        <f>VOC!I15</f>
        <v>1867500.1506943542</v>
      </c>
      <c r="F43" s="806">
        <f t="shared" ref="F43:F60" si="14">E43/(1+$E$4)^A43</f>
        <v>1564001.9755608737</v>
      </c>
      <c r="G43" s="807">
        <f t="shared" ref="G43:G60" si="15">E43/(1+$F$4)^A43</f>
        <v>1244394.2033913482</v>
      </c>
      <c r="H43" s="781"/>
      <c r="I43" s="781"/>
      <c r="J43" s="781"/>
      <c r="K43" s="781"/>
      <c r="L43" s="781"/>
      <c r="AN43" s="782"/>
      <c r="AO43" s="783"/>
      <c r="AP43" s="828"/>
      <c r="AQ43" s="828"/>
      <c r="AR43" s="829"/>
      <c r="AS43" s="829"/>
      <c r="AT43" s="784"/>
      <c r="AU43" s="821"/>
      <c r="AV43" s="822"/>
      <c r="AW43" s="823"/>
      <c r="AX43" s="824"/>
      <c r="AZ43" s="782"/>
    </row>
    <row r="44" spans="1:56" ht="14.25" x14ac:dyDescent="0.25">
      <c r="A44" s="802">
        <v>7</v>
      </c>
      <c r="B44" s="803">
        <v>2024</v>
      </c>
      <c r="C44" s="1318">
        <f>VOC!G16</f>
        <v>1425545.695568952</v>
      </c>
      <c r="D44" s="836">
        <f>VOC!H16</f>
        <v>557950.7140127148</v>
      </c>
      <c r="E44" s="836">
        <f>VOC!I16</f>
        <v>1983496.4095816668</v>
      </c>
      <c r="F44" s="806">
        <f t="shared" si="14"/>
        <v>1612764.0934108733</v>
      </c>
      <c r="G44" s="807">
        <f t="shared" si="15"/>
        <v>1235221.8770959962</v>
      </c>
      <c r="H44" s="781"/>
      <c r="I44" s="781"/>
      <c r="J44" s="781"/>
      <c r="K44" s="781"/>
      <c r="L44" s="781"/>
      <c r="AN44" s="782"/>
      <c r="AO44" s="783"/>
      <c r="AP44" s="828"/>
      <c r="AQ44" s="828"/>
      <c r="AR44" s="829"/>
      <c r="AS44" s="829"/>
      <c r="AT44" s="784"/>
      <c r="AU44" s="821"/>
      <c r="AV44" s="822"/>
      <c r="AW44" s="823"/>
      <c r="AX44" s="824"/>
      <c r="AZ44" s="782"/>
    </row>
    <row r="45" spans="1:56" ht="14.25" x14ac:dyDescent="0.25">
      <c r="A45" s="802">
        <v>8</v>
      </c>
      <c r="B45" s="803">
        <v>2025</v>
      </c>
      <c r="C45" s="1318">
        <f>VOC!G17</f>
        <v>1512793.65314548</v>
      </c>
      <c r="D45" s="836">
        <f>VOC!H17</f>
        <v>595714.71294474497</v>
      </c>
      <c r="E45" s="836">
        <f>VOC!I17</f>
        <v>2108508.3660902251</v>
      </c>
      <c r="F45" s="806">
        <f t="shared" si="14"/>
        <v>1664475.9748198125</v>
      </c>
      <c r="G45" s="807">
        <f t="shared" si="15"/>
        <v>1227171.0661160641</v>
      </c>
      <c r="H45" s="781"/>
      <c r="I45" s="781"/>
      <c r="J45" s="781"/>
      <c r="K45" s="781" t="s">
        <v>475</v>
      </c>
      <c r="L45" s="781"/>
      <c r="AN45" s="782"/>
      <c r="AO45" s="783"/>
      <c r="AP45" s="828"/>
      <c r="AQ45" s="828"/>
      <c r="AR45" s="829"/>
      <c r="AS45" s="829"/>
      <c r="AT45" s="784"/>
      <c r="AU45" s="821"/>
      <c r="AV45" s="822"/>
      <c r="AW45" s="823"/>
      <c r="AX45" s="824"/>
      <c r="AZ45" s="782"/>
    </row>
    <row r="46" spans="1:56" ht="14.25" x14ac:dyDescent="0.25">
      <c r="A46" s="802">
        <v>9</v>
      </c>
      <c r="B46" s="803">
        <v>2026</v>
      </c>
      <c r="C46" s="1318">
        <f>VOC!G18</f>
        <v>1615262.8694877075</v>
      </c>
      <c r="D46" s="836">
        <f>VOC!H18</f>
        <v>636400.59085448331</v>
      </c>
      <c r="E46" s="836">
        <f>VOC!I18</f>
        <v>2251663.4603421907</v>
      </c>
      <c r="F46" s="806">
        <f t="shared" si="14"/>
        <v>1725712.5516130056</v>
      </c>
      <c r="G46" s="807">
        <f t="shared" si="15"/>
        <v>1224755.733023901</v>
      </c>
      <c r="H46" s="781"/>
      <c r="I46" s="781"/>
      <c r="J46" s="781"/>
      <c r="K46" s="781"/>
      <c r="L46" s="781"/>
      <c r="AN46" s="782"/>
      <c r="AO46" s="783"/>
      <c r="AP46" s="828"/>
      <c r="AQ46" s="828"/>
      <c r="AR46" s="829"/>
      <c r="AS46" s="829"/>
      <c r="AT46" s="784"/>
      <c r="AU46" s="821"/>
      <c r="AV46" s="822"/>
      <c r="AW46" s="823"/>
      <c r="AX46" s="824"/>
      <c r="AZ46" s="782"/>
    </row>
    <row r="47" spans="1:56" ht="14.25" x14ac:dyDescent="0.25">
      <c r="A47" s="802">
        <v>10</v>
      </c>
      <c r="B47" s="803">
        <v>2027</v>
      </c>
      <c r="C47" s="1318">
        <f>VOC!G19</f>
        <v>1713172.5690095283</v>
      </c>
      <c r="D47" s="836">
        <f>VOC!H19</f>
        <v>675944.75213721662</v>
      </c>
      <c r="E47" s="836">
        <f>VOC!I19</f>
        <v>2389117.3211467448</v>
      </c>
      <c r="F47" s="806">
        <f t="shared" si="14"/>
        <v>1777727.6606396579</v>
      </c>
      <c r="G47" s="807">
        <f t="shared" si="15"/>
        <v>1214506.099031741</v>
      </c>
      <c r="H47" s="781" t="s">
        <v>475</v>
      </c>
      <c r="I47" s="781"/>
      <c r="J47" s="781"/>
      <c r="K47" s="781"/>
      <c r="L47" s="781"/>
      <c r="AN47" s="782"/>
      <c r="AO47" s="783"/>
      <c r="AP47" s="828"/>
      <c r="AQ47" s="828"/>
      <c r="AR47" s="829"/>
      <c r="AS47" s="829"/>
      <c r="AT47" s="784"/>
      <c r="AU47" s="821"/>
      <c r="AV47" s="822"/>
      <c r="AW47" s="823"/>
      <c r="AX47" s="824"/>
      <c r="AZ47" s="782"/>
    </row>
    <row r="48" spans="1:56" ht="14.25" x14ac:dyDescent="0.25">
      <c r="A48" s="802">
        <v>11</v>
      </c>
      <c r="B48" s="803">
        <v>2028</v>
      </c>
      <c r="C48" s="1318">
        <f>VOC!G20</f>
        <v>1804514.2676291913</v>
      </c>
      <c r="D48" s="836">
        <f>VOC!H20</f>
        <v>713764.13416045893</v>
      </c>
      <c r="E48" s="836">
        <f>VOC!I20</f>
        <v>2518278.4017896503</v>
      </c>
      <c r="F48" s="806">
        <f t="shared" si="14"/>
        <v>1819257.89785197</v>
      </c>
      <c r="G48" s="807">
        <f t="shared" si="15"/>
        <v>1196415.9279887076</v>
      </c>
      <c r="H48" s="781"/>
      <c r="I48" s="781"/>
      <c r="J48" s="781"/>
      <c r="K48" s="781"/>
      <c r="L48" s="781"/>
      <c r="AN48" s="782"/>
      <c r="AO48" s="783"/>
      <c r="AP48" s="828"/>
      <c r="AQ48" s="828"/>
      <c r="AR48" s="829"/>
      <c r="AS48" s="829"/>
      <c r="AT48" s="784"/>
      <c r="AU48" s="821"/>
      <c r="AV48" s="822"/>
      <c r="AW48" s="823"/>
      <c r="AX48" s="824"/>
      <c r="AZ48" s="782"/>
    </row>
    <row r="49" spans="1:52" ht="14.25" x14ac:dyDescent="0.25">
      <c r="A49" s="802">
        <v>12</v>
      </c>
      <c r="B49" s="803">
        <v>2029</v>
      </c>
      <c r="C49" s="1318">
        <f>VOC!G21</f>
        <v>1905809.9197790509</v>
      </c>
      <c r="D49" s="836">
        <f>VOC!H21</f>
        <v>756276.35617336468</v>
      </c>
      <c r="E49" s="836">
        <f>VOC!I21</f>
        <v>2662086.2759524155</v>
      </c>
      <c r="F49" s="806">
        <f t="shared" si="14"/>
        <v>1867133.7532908635</v>
      </c>
      <c r="G49" s="807">
        <f t="shared" si="15"/>
        <v>1181998.1430535046</v>
      </c>
      <c r="H49" s="781"/>
      <c r="I49" s="781"/>
      <c r="J49" s="781"/>
      <c r="K49" s="781"/>
      <c r="L49" s="781"/>
      <c r="AN49" s="782"/>
      <c r="AO49" s="783"/>
      <c r="AP49" s="828"/>
      <c r="AQ49" s="828"/>
      <c r="AR49" s="829"/>
      <c r="AS49" s="829"/>
      <c r="AT49" s="784"/>
      <c r="AU49" s="821"/>
      <c r="AV49" s="822"/>
      <c r="AW49" s="823"/>
      <c r="AX49" s="824"/>
      <c r="AZ49" s="782"/>
    </row>
    <row r="50" spans="1:52" ht="14.25" x14ac:dyDescent="0.25">
      <c r="A50" s="802">
        <v>13</v>
      </c>
      <c r="B50" s="803">
        <v>2030</v>
      </c>
      <c r="C50" s="1318">
        <f>VOC!G22</f>
        <v>1999632.0733451706</v>
      </c>
      <c r="D50" s="836">
        <f>VOC!H22</f>
        <v>795281.0932644885</v>
      </c>
      <c r="E50" s="836">
        <f>VOC!I22</f>
        <v>2794913.1666096589</v>
      </c>
      <c r="F50" s="806">
        <f t="shared" si="14"/>
        <v>1903199.8659674232</v>
      </c>
      <c r="G50" s="807">
        <f t="shared" si="15"/>
        <v>1159789.5990785814</v>
      </c>
      <c r="H50" s="781"/>
      <c r="I50" s="781"/>
      <c r="J50" s="781"/>
      <c r="K50" s="781"/>
      <c r="L50" s="781"/>
      <c r="AN50" s="782"/>
      <c r="AO50" s="783"/>
      <c r="AP50" s="828"/>
      <c r="AQ50" s="828"/>
      <c r="AR50" s="829"/>
      <c r="AS50" s="829"/>
      <c r="AT50" s="784"/>
      <c r="AU50" s="821"/>
      <c r="AV50" s="822"/>
      <c r="AW50" s="823"/>
      <c r="AX50" s="824"/>
      <c r="AZ50" s="782"/>
    </row>
    <row r="51" spans="1:52" ht="14.25" x14ac:dyDescent="0.25">
      <c r="A51" s="802">
        <v>14</v>
      </c>
      <c r="B51" s="803">
        <v>2031</v>
      </c>
      <c r="C51" s="1318">
        <f>VOC!G23</f>
        <v>2112076.5161697851</v>
      </c>
      <c r="D51" s="836">
        <f>VOC!H23</f>
        <v>841924.26139299758</v>
      </c>
      <c r="E51" s="836">
        <f>VOC!I23</f>
        <v>2954000.7775627826</v>
      </c>
      <c r="F51" s="806">
        <f t="shared" si="14"/>
        <v>1952942.5124488021</v>
      </c>
      <c r="G51" s="807">
        <f t="shared" si="15"/>
        <v>1145612.4315174308</v>
      </c>
      <c r="H51" s="781"/>
      <c r="I51" s="781"/>
      <c r="J51" s="781"/>
      <c r="K51" s="781"/>
      <c r="L51" s="781"/>
      <c r="AN51" s="782"/>
      <c r="AO51" s="783"/>
      <c r="AP51" s="828"/>
      <c r="AQ51" s="828"/>
      <c r="AR51" s="829"/>
      <c r="AS51" s="829"/>
      <c r="AT51" s="784"/>
      <c r="AU51" s="821"/>
      <c r="AV51" s="822"/>
      <c r="AW51" s="823"/>
      <c r="AX51" s="824"/>
      <c r="AZ51" s="782"/>
    </row>
    <row r="52" spans="1:52" ht="14.25" x14ac:dyDescent="0.25">
      <c r="A52" s="802">
        <v>15</v>
      </c>
      <c r="B52" s="803">
        <v>2032</v>
      </c>
      <c r="C52" s="1318">
        <f>VOC!G24</f>
        <v>2232858.5892492551</v>
      </c>
      <c r="D52" s="836">
        <f>VOC!H24</f>
        <v>891303.71844738501</v>
      </c>
      <c r="E52" s="836">
        <f>VOC!I24</f>
        <v>3124162.30769664</v>
      </c>
      <c r="F52" s="806">
        <f t="shared" si="14"/>
        <v>2005280.9028015889</v>
      </c>
      <c r="G52" s="807">
        <f t="shared" si="15"/>
        <v>1132340.1931413361</v>
      </c>
      <c r="H52" s="781"/>
      <c r="I52" s="781"/>
      <c r="J52" s="781"/>
      <c r="K52" s="781"/>
      <c r="L52" s="781"/>
      <c r="AN52" s="782"/>
      <c r="AO52" s="783"/>
      <c r="AP52" s="828"/>
      <c r="AQ52" s="828"/>
      <c r="AR52" s="829"/>
      <c r="AS52" s="829"/>
      <c r="AT52" s="784"/>
      <c r="AU52" s="821"/>
      <c r="AV52" s="822"/>
      <c r="AW52" s="823"/>
      <c r="AX52" s="824"/>
      <c r="AZ52" s="782"/>
    </row>
    <row r="53" spans="1:52" ht="14.25" x14ac:dyDescent="0.25">
      <c r="A53" s="802">
        <v>16</v>
      </c>
      <c r="B53" s="803">
        <v>2033</v>
      </c>
      <c r="C53" s="1318">
        <f>VOC!G25</f>
        <v>2357722.0106261754</v>
      </c>
      <c r="D53" s="836">
        <f>VOC!H25</f>
        <v>941875.31049382093</v>
      </c>
      <c r="E53" s="836">
        <f>VOC!I25</f>
        <v>3299597.3211199963</v>
      </c>
      <c r="F53" s="806">
        <f t="shared" si="14"/>
        <v>2056199.9632612369</v>
      </c>
      <c r="G53" s="807">
        <f t="shared" si="15"/>
        <v>1117687.7714603138</v>
      </c>
      <c r="H53" s="781"/>
      <c r="I53" s="781"/>
      <c r="J53" s="781"/>
      <c r="K53" s="781"/>
      <c r="L53" s="781"/>
      <c r="AN53" s="782"/>
      <c r="AO53" s="783"/>
      <c r="AP53" s="828"/>
      <c r="AQ53" s="828"/>
      <c r="AR53" s="829"/>
      <c r="AS53" s="829"/>
      <c r="AT53" s="784"/>
      <c r="AU53" s="821"/>
      <c r="AV53" s="822"/>
      <c r="AW53" s="823"/>
      <c r="AX53" s="824"/>
      <c r="AZ53" s="782"/>
    </row>
    <row r="54" spans="1:52" ht="14.25" x14ac:dyDescent="0.25">
      <c r="A54" s="802">
        <v>17</v>
      </c>
      <c r="B54" s="803">
        <v>2034</v>
      </c>
      <c r="C54" s="1318">
        <f>VOC!G26</f>
        <v>2482823.1151661379</v>
      </c>
      <c r="D54" s="836">
        <f>VOC!H26</f>
        <v>994007.91912169626</v>
      </c>
      <c r="E54" s="836">
        <f>VOC!I26</f>
        <v>3476831.0342878341</v>
      </c>
      <c r="F54" s="806">
        <f t="shared" si="14"/>
        <v>2103539.9551676251</v>
      </c>
      <c r="G54" s="807">
        <f t="shared" si="15"/>
        <v>1100675.6654263728</v>
      </c>
      <c r="H54" s="781"/>
      <c r="I54" s="781"/>
      <c r="J54" s="781"/>
      <c r="K54" s="781"/>
      <c r="L54" s="781"/>
      <c r="AN54" s="782"/>
      <c r="AO54" s="783"/>
      <c r="AP54" s="828"/>
      <c r="AQ54" s="828"/>
      <c r="AR54" s="829"/>
      <c r="AS54" s="829"/>
      <c r="AT54" s="784"/>
      <c r="AU54" s="821"/>
      <c r="AV54" s="822"/>
      <c r="AW54" s="823"/>
      <c r="AX54" s="824"/>
      <c r="AZ54" s="782"/>
    </row>
    <row r="55" spans="1:52" ht="14.25" x14ac:dyDescent="0.25">
      <c r="A55" s="802">
        <v>18</v>
      </c>
      <c r="B55" s="803">
        <v>2035</v>
      </c>
      <c r="C55" s="1318">
        <f>VOC!G27</f>
        <v>2583516.4930081014</v>
      </c>
      <c r="D55" s="836">
        <f>VOC!H27</f>
        <v>1042702.5410502112</v>
      </c>
      <c r="E55" s="836">
        <f>VOC!I27</f>
        <v>3626219.0340583124</v>
      </c>
      <c r="F55" s="806">
        <f t="shared" si="14"/>
        <v>2130021.5066413782</v>
      </c>
      <c r="G55" s="807">
        <f t="shared" si="15"/>
        <v>1072867.3648564154</v>
      </c>
      <c r="H55" s="781"/>
      <c r="I55" s="781"/>
      <c r="J55" s="781"/>
      <c r="K55" s="781"/>
      <c r="L55" s="781"/>
      <c r="AN55" s="782"/>
      <c r="AO55" s="783"/>
      <c r="AP55" s="828"/>
      <c r="AQ55" s="828"/>
      <c r="AR55" s="829"/>
      <c r="AS55" s="829"/>
      <c r="AT55" s="784"/>
      <c r="AU55" s="821"/>
      <c r="AV55" s="822"/>
      <c r="AW55" s="823"/>
      <c r="AX55" s="824"/>
      <c r="AZ55" s="782"/>
    </row>
    <row r="56" spans="1:52" ht="14.25" x14ac:dyDescent="0.25">
      <c r="A56" s="802">
        <v>19</v>
      </c>
      <c r="B56" s="803">
        <v>2036</v>
      </c>
      <c r="C56" s="1318">
        <f>VOC!G28</f>
        <v>2717691.6382947168</v>
      </c>
      <c r="D56" s="836">
        <f>VOC!H28</f>
        <v>1098731.1477740195</v>
      </c>
      <c r="E56" s="836">
        <f>VOC!I28</f>
        <v>3816422.7860687366</v>
      </c>
      <c r="F56" s="806">
        <f t="shared" si="14"/>
        <v>2176452.587301637</v>
      </c>
      <c r="G56" s="807">
        <f t="shared" si="15"/>
        <v>1055272.7026404501</v>
      </c>
      <c r="H56" s="781"/>
      <c r="I56" s="781"/>
      <c r="J56" s="781"/>
      <c r="K56" s="781"/>
      <c r="L56" s="781"/>
      <c r="AN56" s="782"/>
      <c r="AO56" s="783"/>
      <c r="AP56" s="828"/>
      <c r="AQ56" s="828"/>
      <c r="AR56" s="829"/>
      <c r="AS56" s="829"/>
      <c r="AT56" s="784"/>
      <c r="AU56" s="821"/>
      <c r="AV56" s="822"/>
      <c r="AW56" s="823"/>
      <c r="AX56" s="824"/>
      <c r="AZ56" s="782"/>
    </row>
    <row r="57" spans="1:52" ht="14.25" x14ac:dyDescent="0.25">
      <c r="A57" s="802">
        <v>20</v>
      </c>
      <c r="B57" s="803">
        <v>2037</v>
      </c>
      <c r="C57" s="1318">
        <f>VOC!G29</f>
        <v>2831090.0057140519</v>
      </c>
      <c r="D57" s="836">
        <f>VOC!H29</f>
        <v>1145887.6801508076</v>
      </c>
      <c r="E57" s="836">
        <f>VOC!I29</f>
        <v>3976977.6858648593</v>
      </c>
      <c r="F57" s="806">
        <f t="shared" si="14"/>
        <v>2201956.1196034509</v>
      </c>
      <c r="G57" s="807">
        <f t="shared" si="15"/>
        <v>1027726.6077942041</v>
      </c>
      <c r="H57" s="781"/>
      <c r="I57" s="781"/>
      <c r="J57" s="781"/>
      <c r="K57" s="781"/>
      <c r="L57" s="781"/>
      <c r="AN57" s="782"/>
      <c r="AO57" s="783"/>
      <c r="AP57" s="828"/>
      <c r="AQ57" s="828"/>
      <c r="AR57" s="829"/>
      <c r="AS57" s="829"/>
      <c r="AT57" s="784"/>
      <c r="AU57" s="821"/>
      <c r="AV57" s="822"/>
      <c r="AW57" s="823"/>
      <c r="AX57" s="824"/>
      <c r="AZ57" s="782"/>
    </row>
    <row r="58" spans="1:52" ht="14.25" x14ac:dyDescent="0.25">
      <c r="A58" s="802">
        <v>21</v>
      </c>
      <c r="B58" s="803">
        <v>2038</v>
      </c>
      <c r="C58" s="1318">
        <f>VOC!G30</f>
        <v>2977960.8017222062</v>
      </c>
      <c r="D58" s="836">
        <f>VOC!H30</f>
        <v>1204989.6475510921</v>
      </c>
      <c r="E58" s="836">
        <f>VOC!I30</f>
        <v>4182950.4492732985</v>
      </c>
      <c r="F58" s="806">
        <f t="shared" si="14"/>
        <v>2248541.9851703518</v>
      </c>
      <c r="G58" s="807">
        <f t="shared" si="15"/>
        <v>1010237.2746925512</v>
      </c>
      <c r="H58" s="781"/>
      <c r="I58" s="781"/>
      <c r="J58" s="781"/>
      <c r="K58" s="781"/>
      <c r="L58" s="781"/>
      <c r="AN58" s="782"/>
      <c r="AO58" s="783"/>
      <c r="AP58" s="828"/>
      <c r="AQ58" s="828"/>
      <c r="AR58" s="829"/>
      <c r="AS58" s="829"/>
      <c r="AT58" s="784"/>
      <c r="AU58" s="821"/>
      <c r="AV58" s="822"/>
      <c r="AW58" s="823"/>
      <c r="AX58" s="824"/>
      <c r="AZ58" s="782"/>
    </row>
    <row r="59" spans="1:52" ht="14.25" x14ac:dyDescent="0.25">
      <c r="A59" s="802">
        <v>22</v>
      </c>
      <c r="B59" s="803">
        <v>2039</v>
      </c>
      <c r="C59" s="1318">
        <f>VOC!G31</f>
        <v>3117457.8392773964</v>
      </c>
      <c r="D59" s="836">
        <f>VOC!H31</f>
        <v>1261409.6026276494</v>
      </c>
      <c r="E59" s="836">
        <f>VOC!I31</f>
        <v>4378867.4419050459</v>
      </c>
      <c r="F59" s="806">
        <f t="shared" si="14"/>
        <v>2285298.0802891543</v>
      </c>
      <c r="G59" s="807">
        <f t="shared" si="15"/>
        <v>988368.03021330945</v>
      </c>
      <c r="H59" s="781"/>
      <c r="I59" s="781"/>
      <c r="J59" s="781"/>
      <c r="K59" s="781"/>
      <c r="L59" s="781"/>
      <c r="AN59" s="782"/>
      <c r="AO59" s="783"/>
      <c r="AP59" s="828"/>
      <c r="AQ59" s="828"/>
      <c r="AR59" s="829"/>
      <c r="AS59" s="829"/>
      <c r="AT59" s="784"/>
      <c r="AU59" s="821"/>
      <c r="AV59" s="822"/>
      <c r="AW59" s="823"/>
      <c r="AX59" s="824"/>
      <c r="AZ59" s="782"/>
    </row>
    <row r="60" spans="1:52" ht="14.25" x14ac:dyDescent="0.25">
      <c r="A60" s="802">
        <v>23</v>
      </c>
      <c r="B60" s="803">
        <v>2040</v>
      </c>
      <c r="C60" s="1318">
        <f>VOC!G32</f>
        <v>3277162.5783510371</v>
      </c>
      <c r="D60" s="836">
        <f>VOC!H32</f>
        <v>1327265.7223513718</v>
      </c>
      <c r="E60" s="836">
        <f>VOC!I32</f>
        <v>4604428.3007024089</v>
      </c>
      <c r="F60" s="806">
        <f t="shared" si="14"/>
        <v>2333025.8262020713</v>
      </c>
      <c r="G60" s="807">
        <f t="shared" si="15"/>
        <v>971289.79961966432</v>
      </c>
      <c r="H60" s="781"/>
      <c r="I60" s="781"/>
      <c r="J60" s="781"/>
      <c r="K60" s="781"/>
      <c r="L60" s="781"/>
      <c r="AN60" s="782"/>
      <c r="AO60" s="783"/>
      <c r="AP60" s="828"/>
      <c r="AQ60" s="828"/>
      <c r="AR60" s="829"/>
      <c r="AS60" s="829"/>
      <c r="AT60" s="784"/>
      <c r="AU60" s="821"/>
      <c r="AV60" s="822"/>
      <c r="AW60" s="823"/>
      <c r="AX60" s="824"/>
      <c r="AZ60" s="782"/>
    </row>
    <row r="61" spans="1:52" ht="14.25" x14ac:dyDescent="0.25">
      <c r="A61" s="802">
        <v>24</v>
      </c>
      <c r="B61" s="803">
        <v>2041</v>
      </c>
      <c r="C61" s="1318">
        <f>VOC!G33</f>
        <v>3277162.5783510371</v>
      </c>
      <c r="D61" s="836">
        <f>VOC!H33</f>
        <v>1327265.7223513718</v>
      </c>
      <c r="E61" s="836">
        <f>VOC!I33</f>
        <v>4604428.3007024089</v>
      </c>
      <c r="F61" s="806">
        <f t="shared" ref="F61:F70" si="16">E61/(1+$E$4)^A61</f>
        <v>2265073.6176719144</v>
      </c>
      <c r="G61" s="807">
        <f t="shared" ref="G61:G70" si="17">E61/(1+$F$4)^A61</f>
        <v>907747.47628006001</v>
      </c>
      <c r="H61" s="781"/>
      <c r="I61" s="781"/>
      <c r="J61" s="781"/>
      <c r="K61" s="781"/>
      <c r="L61" s="781"/>
      <c r="AN61" s="782"/>
      <c r="AO61" s="783"/>
      <c r="AP61" s="828"/>
      <c r="AQ61" s="828"/>
      <c r="AR61" s="829"/>
      <c r="AS61" s="829"/>
      <c r="AT61" s="784"/>
      <c r="AU61" s="821"/>
      <c r="AV61" s="822"/>
      <c r="AW61" s="823"/>
      <c r="AX61" s="824"/>
      <c r="AZ61" s="782"/>
    </row>
    <row r="62" spans="1:52" ht="14.25" x14ac:dyDescent="0.25">
      <c r="A62" s="802">
        <v>25</v>
      </c>
      <c r="B62" s="803">
        <v>2042</v>
      </c>
      <c r="C62" s="1318">
        <f>VOC!G34</f>
        <v>3277162.5783510371</v>
      </c>
      <c r="D62" s="836">
        <f>VOC!H34</f>
        <v>1327265.7223513718</v>
      </c>
      <c r="E62" s="836">
        <f>VOC!I34</f>
        <v>4604428.3007024089</v>
      </c>
      <c r="F62" s="806">
        <f t="shared" si="16"/>
        <v>2199100.5996814701</v>
      </c>
      <c r="G62" s="807">
        <f t="shared" si="17"/>
        <v>848362.1273645421</v>
      </c>
      <c r="H62" s="781"/>
      <c r="I62" s="781"/>
      <c r="J62" s="781"/>
      <c r="K62" s="781"/>
      <c r="L62" s="781"/>
      <c r="AN62" s="782"/>
      <c r="AO62" s="783"/>
      <c r="AP62" s="828"/>
      <c r="AQ62" s="828"/>
      <c r="AR62" s="829"/>
      <c r="AS62" s="829"/>
      <c r="AT62" s="784"/>
      <c r="AU62" s="821"/>
      <c r="AV62" s="822"/>
      <c r="AW62" s="823"/>
      <c r="AX62" s="824"/>
      <c r="AZ62" s="782"/>
    </row>
    <row r="63" spans="1:52" ht="14.25" x14ac:dyDescent="0.25">
      <c r="A63" s="802">
        <v>26</v>
      </c>
      <c r="B63" s="803">
        <v>2043</v>
      </c>
      <c r="C63" s="1318">
        <f>VOC!G35</f>
        <v>3277162.5783510371</v>
      </c>
      <c r="D63" s="836">
        <f>VOC!H35</f>
        <v>1327265.7223513718</v>
      </c>
      <c r="E63" s="836">
        <f>VOC!I35</f>
        <v>4604428.3007024089</v>
      </c>
      <c r="F63" s="806">
        <f t="shared" si="16"/>
        <v>2135049.1259043398</v>
      </c>
      <c r="G63" s="807">
        <f t="shared" si="17"/>
        <v>792861.80127527297</v>
      </c>
      <c r="H63" s="781"/>
      <c r="I63" s="781"/>
      <c r="J63" s="781"/>
      <c r="K63" s="781"/>
      <c r="L63" s="781"/>
      <c r="AN63" s="782"/>
      <c r="AO63" s="783"/>
      <c r="AP63" s="828"/>
      <c r="AQ63" s="828"/>
      <c r="AR63" s="829"/>
      <c r="AS63" s="829"/>
      <c r="AT63" s="784"/>
      <c r="AU63" s="821"/>
      <c r="AV63" s="822"/>
      <c r="AW63" s="823"/>
      <c r="AX63" s="824"/>
      <c r="AZ63" s="782"/>
    </row>
    <row r="64" spans="1:52" ht="14.25" x14ac:dyDescent="0.25">
      <c r="A64" s="802">
        <v>27</v>
      </c>
      <c r="B64" s="803">
        <v>2044</v>
      </c>
      <c r="C64" s="1318">
        <f>VOC!G36</f>
        <v>3277162.5783510371</v>
      </c>
      <c r="D64" s="836">
        <f>VOC!H36</f>
        <v>1327265.7223513718</v>
      </c>
      <c r="E64" s="836">
        <f>VOC!I36</f>
        <v>4604428.3007024089</v>
      </c>
      <c r="F64" s="806">
        <f t="shared" si="16"/>
        <v>2072863.2290333398</v>
      </c>
      <c r="G64" s="807">
        <f t="shared" si="17"/>
        <v>740992.33764044195</v>
      </c>
      <c r="H64" s="781"/>
      <c r="I64" s="781"/>
      <c r="J64" s="781"/>
      <c r="K64" s="781"/>
      <c r="L64" s="781"/>
      <c r="AN64" s="782"/>
      <c r="AO64" s="783"/>
      <c r="AP64" s="828"/>
      <c r="AQ64" s="828"/>
      <c r="AR64" s="829"/>
      <c r="AS64" s="829"/>
      <c r="AT64" s="784"/>
      <c r="AU64" s="821"/>
      <c r="AV64" s="822"/>
      <c r="AW64" s="823"/>
      <c r="AX64" s="824"/>
      <c r="AZ64" s="782"/>
    </row>
    <row r="65" spans="1:56" ht="14.25" x14ac:dyDescent="0.25">
      <c r="A65" s="802">
        <v>28</v>
      </c>
      <c r="B65" s="803">
        <v>2045</v>
      </c>
      <c r="C65" s="1318">
        <f>VOC!G37</f>
        <v>3277162.5783510371</v>
      </c>
      <c r="D65" s="836">
        <f>VOC!H37</f>
        <v>1327265.7223513718</v>
      </c>
      <c r="E65" s="836">
        <f>VOC!I37</f>
        <v>4604428.3007024089</v>
      </c>
      <c r="F65" s="806">
        <f t="shared" si="16"/>
        <v>2012488.571877029</v>
      </c>
      <c r="G65" s="807">
        <f t="shared" si="17"/>
        <v>692516.20340228232</v>
      </c>
      <c r="H65" s="781"/>
      <c r="I65" s="781"/>
      <c r="J65" s="781"/>
      <c r="K65" s="781"/>
      <c r="L65" s="781"/>
      <c r="AN65" s="782"/>
      <c r="AO65" s="783"/>
      <c r="AP65" s="828"/>
      <c r="AQ65" s="828"/>
      <c r="AR65" s="829"/>
      <c r="AS65" s="829"/>
      <c r="AT65" s="784"/>
      <c r="AU65" s="821"/>
      <c r="AV65" s="822"/>
      <c r="AW65" s="823"/>
      <c r="AX65" s="824"/>
      <c r="AZ65" s="782"/>
    </row>
    <row r="66" spans="1:56" ht="14.25" x14ac:dyDescent="0.25">
      <c r="A66" s="802">
        <v>29</v>
      </c>
      <c r="B66" s="803">
        <v>2046</v>
      </c>
      <c r="C66" s="1318">
        <f>VOC!G38</f>
        <v>3277162.5783510371</v>
      </c>
      <c r="D66" s="836">
        <f>VOC!H38</f>
        <v>1327265.7223513718</v>
      </c>
      <c r="E66" s="836">
        <f>VOC!I38</f>
        <v>4604428.3007024089</v>
      </c>
      <c r="F66" s="806">
        <f t="shared" si="16"/>
        <v>1953872.3998806109</v>
      </c>
      <c r="G66" s="807">
        <f t="shared" si="17"/>
        <v>647211.40504886198</v>
      </c>
      <c r="H66" s="781"/>
      <c r="I66" s="781"/>
      <c r="J66" s="781"/>
      <c r="K66" s="781"/>
      <c r="L66" s="781"/>
      <c r="AN66" s="782"/>
      <c r="AO66" s="783"/>
      <c r="AP66" s="828"/>
      <c r="AQ66" s="828"/>
      <c r="AR66" s="829"/>
      <c r="AS66" s="829"/>
      <c r="AT66" s="784"/>
      <c r="AU66" s="821"/>
      <c r="AV66" s="822"/>
      <c r="AW66" s="823"/>
      <c r="AX66" s="824"/>
      <c r="AZ66" s="782"/>
    </row>
    <row r="67" spans="1:56" ht="14.25" x14ac:dyDescent="0.25">
      <c r="A67" s="802">
        <v>30</v>
      </c>
      <c r="B67" s="803">
        <v>2047</v>
      </c>
      <c r="C67" s="1318">
        <f>VOC!G39</f>
        <v>3277162.5783510371</v>
      </c>
      <c r="D67" s="836">
        <f>VOC!H39</f>
        <v>1327265.7223513718</v>
      </c>
      <c r="E67" s="836">
        <f>VOC!I39</f>
        <v>4604428.3007024089</v>
      </c>
      <c r="F67" s="806">
        <f t="shared" si="16"/>
        <v>1896963.4950297193</v>
      </c>
      <c r="G67" s="807">
        <f t="shared" si="17"/>
        <v>604870.4720082822</v>
      </c>
      <c r="H67" s="781"/>
      <c r="I67" s="781"/>
      <c r="J67" s="781"/>
      <c r="K67" s="781"/>
      <c r="L67" s="781"/>
      <c r="AN67" s="782"/>
      <c r="AO67" s="783"/>
      <c r="AP67" s="828"/>
      <c r="AQ67" s="828"/>
      <c r="AR67" s="829"/>
      <c r="AS67" s="829"/>
      <c r="AT67" s="784"/>
      <c r="AU67" s="821"/>
      <c r="AV67" s="822"/>
      <c r="AW67" s="823"/>
      <c r="AX67" s="824"/>
      <c r="AZ67" s="782"/>
    </row>
    <row r="68" spans="1:56" ht="14.25" x14ac:dyDescent="0.25">
      <c r="A68" s="802">
        <v>31</v>
      </c>
      <c r="B68" s="803">
        <v>2048</v>
      </c>
      <c r="C68" s="1318">
        <f>VOC!G40</f>
        <v>3277162.5783510371</v>
      </c>
      <c r="D68" s="836">
        <f>VOC!H40</f>
        <v>1327265.7223513718</v>
      </c>
      <c r="E68" s="836">
        <f>VOC!I40</f>
        <v>4604428.3007024089</v>
      </c>
      <c r="F68" s="806">
        <f t="shared" si="16"/>
        <v>1841712.1310968145</v>
      </c>
      <c r="G68" s="807">
        <f t="shared" si="17"/>
        <v>565299.50654979632</v>
      </c>
      <c r="H68" s="781"/>
      <c r="I68" s="781" t="s">
        <v>475</v>
      </c>
      <c r="J68" s="781"/>
      <c r="K68" s="781"/>
      <c r="L68" s="781"/>
      <c r="AN68" s="782"/>
      <c r="AO68" s="783"/>
      <c r="AP68" s="828"/>
      <c r="AQ68" s="828"/>
      <c r="AR68" s="829"/>
      <c r="AS68" s="829"/>
      <c r="AT68" s="784"/>
      <c r="AU68" s="821"/>
      <c r="AV68" s="822"/>
      <c r="AW68" s="823"/>
      <c r="AX68" s="824"/>
      <c r="AZ68" s="782"/>
    </row>
    <row r="69" spans="1:56" ht="14.25" x14ac:dyDescent="0.25">
      <c r="A69" s="802">
        <v>32</v>
      </c>
      <c r="B69" s="803">
        <v>2049</v>
      </c>
      <c r="C69" s="1318">
        <f>VOC!G41</f>
        <v>3277162.5783510371</v>
      </c>
      <c r="D69" s="836">
        <f>VOC!H41</f>
        <v>1327265.7223513718</v>
      </c>
      <c r="E69" s="836">
        <f>VOC!I41</f>
        <v>4604428.3007024089</v>
      </c>
      <c r="F69" s="806">
        <f t="shared" si="16"/>
        <v>1788070.0301910823</v>
      </c>
      <c r="G69" s="807">
        <f t="shared" si="17"/>
        <v>528317.29584093124</v>
      </c>
      <c r="H69" s="781"/>
      <c r="I69" s="781"/>
      <c r="J69" s="781"/>
      <c r="K69" s="781"/>
      <c r="L69" s="781"/>
      <c r="AN69" s="782"/>
      <c r="AO69" s="783"/>
      <c r="AP69" s="828"/>
      <c r="AQ69" s="828"/>
      <c r="AR69" s="829"/>
      <c r="AS69" s="829"/>
      <c r="AT69" s="784"/>
      <c r="AU69" s="821"/>
      <c r="AV69" s="822"/>
      <c r="AW69" s="823"/>
      <c r="AX69" s="824"/>
      <c r="AZ69" s="782"/>
    </row>
    <row r="70" spans="1:56" ht="14.25" x14ac:dyDescent="0.25">
      <c r="A70" s="802">
        <v>33</v>
      </c>
      <c r="B70" s="803">
        <v>2050</v>
      </c>
      <c r="C70" s="1318">
        <f>VOC!G42</f>
        <v>3277162.5783510371</v>
      </c>
      <c r="D70" s="836">
        <f>VOC!H42</f>
        <v>1327265.7223513718</v>
      </c>
      <c r="E70" s="836">
        <f>VOC!I42</f>
        <v>4604428.3007024089</v>
      </c>
      <c r="F70" s="806">
        <f t="shared" si="16"/>
        <v>1735990.3205738664</v>
      </c>
      <c r="G70" s="807">
        <f t="shared" si="17"/>
        <v>493754.48209432821</v>
      </c>
      <c r="H70" s="781"/>
      <c r="I70" s="781"/>
      <c r="J70" s="781"/>
      <c r="K70" s="781"/>
      <c r="L70" s="781"/>
      <c r="AN70" s="782"/>
      <c r="AO70" s="783"/>
      <c r="AP70" s="828"/>
      <c r="AQ70" s="828"/>
      <c r="AR70" s="829"/>
      <c r="AS70" s="829"/>
      <c r="AT70" s="784"/>
      <c r="AU70" s="821"/>
      <c r="AV70" s="822"/>
      <c r="AW70" s="823"/>
      <c r="AX70" s="824"/>
      <c r="AZ70" s="782"/>
    </row>
    <row r="71" spans="1:56" ht="15" thickBot="1" x14ac:dyDescent="0.3">
      <c r="A71" s="837" t="s">
        <v>387</v>
      </c>
      <c r="B71" s="842"/>
      <c r="C71" s="1057">
        <f>SUM(C42:C70)</f>
        <v>74039118.549011588</v>
      </c>
      <c r="D71" s="839">
        <f>SUM(D42:D70)</f>
        <v>29765734.546439979</v>
      </c>
      <c r="E71" s="839">
        <f>SUM(E42:E70)</f>
        <v>103804853.09545156</v>
      </c>
      <c r="F71" s="840">
        <f>SUM(F42:F70)</f>
        <v>56833580.3682134</v>
      </c>
      <c r="G71" s="1066">
        <f>SUM(G42:G70)</f>
        <v>28372103.207619555</v>
      </c>
      <c r="H71" s="781"/>
      <c r="I71" s="781"/>
      <c r="J71" s="781"/>
      <c r="K71" s="781"/>
      <c r="L71" s="781"/>
      <c r="AN71" s="782"/>
      <c r="AO71" s="783"/>
      <c r="AP71" s="828"/>
      <c r="AQ71" s="828"/>
      <c r="AR71" s="829"/>
      <c r="AS71" s="829"/>
      <c r="AT71" s="784"/>
      <c r="AU71" s="821"/>
      <c r="AV71" s="822"/>
      <c r="AW71" s="823"/>
      <c r="AX71" s="824"/>
      <c r="AZ71" s="782"/>
    </row>
    <row r="72" spans="1:56" ht="14.25" x14ac:dyDescent="0.25">
      <c r="AV72" s="828"/>
      <c r="AW72" s="828"/>
      <c r="AX72" s="829"/>
      <c r="AY72" s="829"/>
      <c r="BA72" s="821"/>
      <c r="BB72" s="822"/>
      <c r="BC72" s="823"/>
      <c r="BD72" s="824"/>
    </row>
    <row r="73" spans="1:56" ht="15.75" customHeight="1" thickBot="1" x14ac:dyDescent="0.3">
      <c r="A73" s="1170" t="s">
        <v>712</v>
      </c>
      <c r="B73" s="1170"/>
      <c r="C73" s="1170"/>
      <c r="D73" s="1170"/>
      <c r="E73" s="1170"/>
      <c r="F73" s="843"/>
      <c r="G73" s="843"/>
      <c r="H73" s="843"/>
      <c r="I73" s="781"/>
      <c r="J73" s="781"/>
      <c r="K73" s="781"/>
      <c r="L73" s="781"/>
      <c r="AP73" s="782"/>
      <c r="AQ73" s="783"/>
      <c r="AR73" s="828"/>
      <c r="AS73" s="828"/>
      <c r="AT73" s="829"/>
      <c r="AU73" s="829"/>
      <c r="AV73" s="784"/>
      <c r="AW73" s="821"/>
      <c r="AX73" s="822"/>
      <c r="AY73" s="823"/>
      <c r="AZ73" s="824"/>
    </row>
    <row r="74" spans="1:56" ht="15" thickBot="1" x14ac:dyDescent="0.3">
      <c r="A74" s="785" t="s">
        <v>208</v>
      </c>
      <c r="B74" s="830" t="s">
        <v>206</v>
      </c>
      <c r="C74" s="785" t="s">
        <v>204</v>
      </c>
      <c r="D74" s="1058" t="s">
        <v>309</v>
      </c>
      <c r="E74" s="1062" t="s">
        <v>310</v>
      </c>
      <c r="F74" s="782" t="s">
        <v>475</v>
      </c>
      <c r="M74" s="782"/>
      <c r="N74" s="782"/>
      <c r="O74" s="782"/>
      <c r="P74" s="782"/>
      <c r="Q74" s="782"/>
      <c r="R74" s="782"/>
      <c r="AP74" s="782"/>
      <c r="AQ74" s="783"/>
      <c r="AR74" s="828"/>
      <c r="AS74" s="828"/>
      <c r="AT74" s="829"/>
      <c r="AU74" s="829"/>
      <c r="AV74" s="784"/>
      <c r="AW74" s="821"/>
      <c r="AX74" s="822"/>
      <c r="AY74" s="823"/>
      <c r="AZ74" s="824"/>
    </row>
    <row r="75" spans="1:56" ht="72" customHeight="1" thickBot="1" x14ac:dyDescent="0.3">
      <c r="A75" s="1165" t="s">
        <v>7</v>
      </c>
      <c r="B75" s="1178" t="s">
        <v>316</v>
      </c>
      <c r="C75" s="1328" t="s">
        <v>824</v>
      </c>
      <c r="D75" s="1329" t="s">
        <v>825</v>
      </c>
      <c r="E75" s="1330" t="s">
        <v>823</v>
      </c>
      <c r="M75" s="782"/>
      <c r="N75" s="782"/>
      <c r="O75" s="782"/>
      <c r="P75" s="782"/>
      <c r="Q75" s="782"/>
      <c r="R75" s="782"/>
      <c r="S75" s="1186"/>
      <c r="T75" s="1186"/>
      <c r="U75" s="1186"/>
      <c r="V75" s="1186"/>
      <c r="AP75" s="782"/>
      <c r="AQ75" s="783"/>
      <c r="AR75" s="828"/>
      <c r="AS75" s="828"/>
      <c r="AT75" s="829"/>
      <c r="AU75" s="829"/>
      <c r="AV75" s="784"/>
      <c r="AW75" s="821"/>
      <c r="AX75" s="822"/>
      <c r="AY75" s="823"/>
      <c r="AZ75" s="824"/>
    </row>
    <row r="76" spans="1:56" ht="24" customHeight="1" x14ac:dyDescent="0.25">
      <c r="A76" s="1166"/>
      <c r="B76" s="1179"/>
      <c r="C76" s="793" t="s">
        <v>386</v>
      </c>
      <c r="D76" s="1059" t="s">
        <v>386</v>
      </c>
      <c r="E76" s="1064">
        <f>3/100</f>
        <v>0.03</v>
      </c>
      <c r="M76" s="782"/>
      <c r="N76" s="782"/>
      <c r="O76" s="782"/>
      <c r="P76" s="782"/>
      <c r="Q76" s="782"/>
      <c r="R76" s="782"/>
      <c r="S76" s="845"/>
      <c r="T76" s="845"/>
      <c r="U76" s="845"/>
      <c r="V76" s="845"/>
      <c r="AP76" s="782"/>
      <c r="AQ76" s="783"/>
      <c r="AR76" s="828"/>
      <c r="AS76" s="828"/>
      <c r="AT76" s="829"/>
      <c r="AU76" s="829"/>
      <c r="AV76" s="784"/>
      <c r="AW76" s="821"/>
      <c r="AX76" s="822"/>
      <c r="AY76" s="823"/>
      <c r="AZ76" s="824"/>
    </row>
    <row r="77" spans="1:56" ht="28.5" x14ac:dyDescent="0.25">
      <c r="A77" s="1167"/>
      <c r="B77" s="1180"/>
      <c r="C77" s="797" t="s">
        <v>5</v>
      </c>
      <c r="D77" s="1060" t="s">
        <v>5</v>
      </c>
      <c r="E77" s="1063" t="s">
        <v>422</v>
      </c>
      <c r="M77" s="782"/>
      <c r="N77" s="782"/>
      <c r="O77" s="782"/>
      <c r="P77" s="782"/>
      <c r="Q77" s="782"/>
      <c r="R77" s="782"/>
      <c r="S77" s="845"/>
      <c r="T77" s="845"/>
      <c r="U77" s="845"/>
      <c r="V77" s="845"/>
      <c r="AP77" s="782"/>
      <c r="AQ77" s="783"/>
      <c r="AR77" s="828"/>
      <c r="AS77" s="828"/>
      <c r="AT77" s="829"/>
      <c r="AU77" s="829"/>
      <c r="AV77" s="784"/>
      <c r="AW77" s="821"/>
      <c r="AX77" s="822"/>
      <c r="AY77" s="823"/>
      <c r="AZ77" s="824"/>
    </row>
    <row r="78" spans="1:56" ht="14.25" x14ac:dyDescent="0.25">
      <c r="A78" s="802">
        <v>5</v>
      </c>
      <c r="B78" s="834">
        <v>2022</v>
      </c>
      <c r="C78" s="805">
        <f>Emissions!D9</f>
        <v>71763.0335047587</v>
      </c>
      <c r="D78" s="1331">
        <f>ModeShift!J14</f>
        <v>14766.844345910557</v>
      </c>
      <c r="E78" s="1065">
        <f>(C78+D78)/(1+$E$4)^A78</f>
        <v>74641.432745676022</v>
      </c>
      <c r="M78" s="782"/>
      <c r="N78" s="782"/>
      <c r="O78" s="782"/>
      <c r="P78" s="782"/>
      <c r="Q78" s="782"/>
      <c r="R78" s="782"/>
      <c r="S78" s="796"/>
      <c r="T78" s="796"/>
      <c r="U78" s="796"/>
      <c r="V78" s="796"/>
      <c r="AP78" s="782"/>
      <c r="AQ78" s="783"/>
      <c r="AR78" s="828"/>
      <c r="AS78" s="828"/>
      <c r="AT78" s="829"/>
      <c r="AU78" s="829"/>
      <c r="AV78" s="784"/>
      <c r="AW78" s="821"/>
      <c r="AX78" s="822"/>
      <c r="AY78" s="823"/>
      <c r="AZ78" s="824"/>
    </row>
    <row r="79" spans="1:56" ht="14.25" x14ac:dyDescent="0.25">
      <c r="A79" s="802">
        <v>6</v>
      </c>
      <c r="B79" s="834">
        <v>2023</v>
      </c>
      <c r="C79" s="805">
        <f>Emissions!D10</f>
        <v>77139.463914623004</v>
      </c>
      <c r="D79" s="1331">
        <f>ModeShift!J15</f>
        <v>15503.699782051102</v>
      </c>
      <c r="E79" s="1065">
        <f t="shared" ref="E79:E94" si="18">(C79+D79)/(1+$E$4)^A79</f>
        <v>77587.191085331229</v>
      </c>
      <c r="M79" s="782"/>
      <c r="N79" s="782"/>
      <c r="O79" s="782"/>
      <c r="P79" s="782"/>
      <c r="Q79" s="782"/>
      <c r="R79" s="782"/>
      <c r="S79" s="796"/>
      <c r="T79" s="796"/>
      <c r="U79" s="796"/>
      <c r="V79" s="796"/>
      <c r="AP79" s="782"/>
      <c r="AQ79" s="783"/>
      <c r="AR79" s="828"/>
      <c r="AS79" s="828"/>
      <c r="AT79" s="829"/>
      <c r="AU79" s="829"/>
      <c r="AV79" s="784"/>
      <c r="AW79" s="821"/>
      <c r="AX79" s="822"/>
      <c r="AY79" s="823"/>
      <c r="AZ79" s="824"/>
    </row>
    <row r="80" spans="1:56" ht="14.25" x14ac:dyDescent="0.25">
      <c r="A80" s="802">
        <v>7</v>
      </c>
      <c r="B80" s="834">
        <v>2024</v>
      </c>
      <c r="C80" s="805">
        <f>Emissions!D11</f>
        <v>82672.369472714723</v>
      </c>
      <c r="D80" s="1331">
        <f>ModeShift!J16</f>
        <v>16257.974868824276</v>
      </c>
      <c r="E80" s="1065">
        <f t="shared" si="18"/>
        <v>80439.423198380347</v>
      </c>
      <c r="M80" s="782"/>
      <c r="N80" s="782"/>
      <c r="O80" s="782"/>
      <c r="P80" s="782"/>
      <c r="Q80" s="782"/>
      <c r="R80" s="782"/>
      <c r="S80" s="796"/>
      <c r="T80" s="796"/>
      <c r="U80" s="796"/>
      <c r="V80" s="796"/>
      <c r="AP80" s="782"/>
      <c r="AQ80" s="783"/>
      <c r="AR80" s="828"/>
      <c r="AS80" s="828"/>
      <c r="AT80" s="829"/>
      <c r="AU80" s="829"/>
      <c r="AV80" s="784"/>
      <c r="AW80" s="821"/>
      <c r="AX80" s="822"/>
      <c r="AY80" s="823"/>
      <c r="AZ80" s="824"/>
    </row>
    <row r="81" spans="1:52" ht="14.25" x14ac:dyDescent="0.25">
      <c r="A81" s="802">
        <v>8</v>
      </c>
      <c r="B81" s="834">
        <v>2025</v>
      </c>
      <c r="C81" s="805">
        <f>Emissions!D12</f>
        <v>88361.750179033857</v>
      </c>
      <c r="D81" s="1331">
        <f>ModeShift!J17</f>
        <v>17029.669606230091</v>
      </c>
      <c r="E81" s="1065">
        <f t="shared" si="18"/>
        <v>83196.959995943791</v>
      </c>
      <c r="M81" s="782"/>
      <c r="N81" s="782"/>
      <c r="O81" s="782"/>
      <c r="P81" s="782"/>
      <c r="Q81" s="782"/>
      <c r="R81" s="782"/>
      <c r="S81" s="796"/>
      <c r="T81" s="796"/>
      <c r="U81" s="796"/>
      <c r="V81" s="796"/>
      <c r="AP81" s="782"/>
      <c r="AQ81" s="783"/>
      <c r="AR81" s="828"/>
      <c r="AS81" s="828"/>
      <c r="AT81" s="829"/>
      <c r="AU81" s="829"/>
      <c r="AV81" s="784"/>
      <c r="AW81" s="821"/>
      <c r="AX81" s="822"/>
      <c r="AY81" s="823"/>
      <c r="AZ81" s="824"/>
    </row>
    <row r="82" spans="1:52" ht="14.25" x14ac:dyDescent="0.25">
      <c r="A82" s="802">
        <v>9</v>
      </c>
      <c r="B82" s="834">
        <v>2026</v>
      </c>
      <c r="C82" s="805">
        <f>Emissions!D13</f>
        <v>94207.606033580407</v>
      </c>
      <c r="D82" s="1331">
        <f>ModeShift!J18</f>
        <v>17818.783994268535</v>
      </c>
      <c r="E82" s="1065">
        <f t="shared" si="18"/>
        <v>85858.899781396671</v>
      </c>
      <c r="M82" s="782"/>
      <c r="N82" s="782"/>
      <c r="O82" s="782"/>
      <c r="P82" s="782"/>
      <c r="Q82" s="782"/>
      <c r="R82" s="782"/>
      <c r="AP82" s="782"/>
      <c r="AQ82" s="783"/>
      <c r="AR82" s="828"/>
      <c r="AS82" s="828"/>
      <c r="AT82" s="829"/>
      <c r="AU82" s="829"/>
      <c r="AV82" s="784"/>
      <c r="AW82" s="821"/>
      <c r="AX82" s="822"/>
      <c r="AY82" s="823"/>
      <c r="AZ82" s="824"/>
    </row>
    <row r="83" spans="1:52" ht="14.25" x14ac:dyDescent="0.25">
      <c r="A83" s="802">
        <v>10</v>
      </c>
      <c r="B83" s="834">
        <v>2027</v>
      </c>
      <c r="C83" s="805">
        <f>Emissions!D14</f>
        <v>100209.9370363544</v>
      </c>
      <c r="D83" s="1331">
        <f>ModeShift!J19</f>
        <v>18625.318032939613</v>
      </c>
      <c r="E83" s="1065">
        <f t="shared" si="18"/>
        <v>88424.590172261887</v>
      </c>
      <c r="M83" s="782"/>
      <c r="N83" s="782"/>
      <c r="O83" s="782"/>
      <c r="P83" s="782"/>
      <c r="Q83" s="782"/>
      <c r="R83" s="782"/>
      <c r="AP83" s="782"/>
      <c r="AQ83" s="783"/>
      <c r="AR83" s="828"/>
      <c r="AS83" s="828"/>
      <c r="AT83" s="829"/>
      <c r="AU83" s="829"/>
      <c r="AV83" s="784"/>
      <c r="AW83" s="821"/>
      <c r="AX83" s="822"/>
      <c r="AY83" s="823"/>
      <c r="AZ83" s="824"/>
    </row>
    <row r="84" spans="1:52" ht="14.25" x14ac:dyDescent="0.25">
      <c r="A84" s="802">
        <v>11</v>
      </c>
      <c r="B84" s="834">
        <v>2028</v>
      </c>
      <c r="C84" s="805">
        <f>Emissions!D15</f>
        <v>106368.74318735582</v>
      </c>
      <c r="D84" s="1331">
        <f>ModeShift!J20</f>
        <v>20867.041869115732</v>
      </c>
      <c r="E84" s="1065">
        <f t="shared" si="18"/>
        <v>91917.838269541913</v>
      </c>
      <c r="M84" s="782"/>
      <c r="N84" s="782"/>
      <c r="O84" s="782"/>
      <c r="P84" s="782"/>
      <c r="Q84" s="782"/>
      <c r="R84" s="782"/>
      <c r="AP84" s="782"/>
      <c r="AQ84" s="783"/>
      <c r="AR84" s="828"/>
      <c r="AS84" s="828"/>
      <c r="AT84" s="829"/>
      <c r="AU84" s="829"/>
      <c r="AV84" s="784"/>
      <c r="AW84" s="821"/>
      <c r="AX84" s="822"/>
      <c r="AY84" s="823"/>
      <c r="AZ84" s="824"/>
    </row>
    <row r="85" spans="1:52" ht="14.25" x14ac:dyDescent="0.25">
      <c r="A85" s="802">
        <v>12</v>
      </c>
      <c r="B85" s="834">
        <v>2029</v>
      </c>
      <c r="C85" s="805">
        <f>Emissions!D16</f>
        <v>110671.80976360993</v>
      </c>
      <c r="D85" s="1331">
        <f>ModeShift!J21</f>
        <v>21381.002292308462</v>
      </c>
      <c r="E85" s="1065">
        <f t="shared" si="18"/>
        <v>92619.185498925246</v>
      </c>
      <c r="M85" s="782"/>
      <c r="N85" s="782"/>
      <c r="O85" s="782"/>
      <c r="P85" s="782"/>
      <c r="Q85" s="782"/>
      <c r="R85" s="782"/>
      <c r="AP85" s="782"/>
      <c r="AQ85" s="783"/>
      <c r="AR85" s="828"/>
      <c r="AS85" s="828"/>
      <c r="AT85" s="829"/>
      <c r="AU85" s="829"/>
      <c r="AV85" s="784"/>
      <c r="AW85" s="821"/>
      <c r="AX85" s="822"/>
      <c r="AY85" s="823"/>
      <c r="AZ85" s="824"/>
    </row>
    <row r="86" spans="1:52" ht="14.25" x14ac:dyDescent="0.25">
      <c r="A86" s="802">
        <v>13</v>
      </c>
      <c r="B86" s="834">
        <v>2030</v>
      </c>
      <c r="C86" s="805">
        <f>Emissions!D17</f>
        <v>119155.7809340409</v>
      </c>
      <c r="D86" s="1331">
        <f>ModeShift!J22</f>
        <v>22691.143177883052</v>
      </c>
      <c r="E86" s="1065">
        <f t="shared" si="18"/>
        <v>96590.853047925237</v>
      </c>
      <c r="M86" s="782"/>
      <c r="N86" s="782"/>
      <c r="O86" s="782"/>
      <c r="P86" s="782"/>
      <c r="Q86" s="782"/>
      <c r="R86" s="782"/>
      <c r="AP86" s="782"/>
      <c r="AQ86" s="783"/>
      <c r="AR86" s="828"/>
      <c r="AS86" s="828"/>
      <c r="AT86" s="829"/>
      <c r="AU86" s="829"/>
      <c r="AV86" s="784"/>
      <c r="AW86" s="821"/>
      <c r="AX86" s="822"/>
      <c r="AY86" s="823"/>
      <c r="AZ86" s="824"/>
    </row>
    <row r="87" spans="1:52" ht="14.25" x14ac:dyDescent="0.25">
      <c r="A87" s="802">
        <v>14</v>
      </c>
      <c r="B87" s="834">
        <v>2031</v>
      </c>
      <c r="C87" s="805">
        <f>Emissions!D18</f>
        <v>125784.01252972457</v>
      </c>
      <c r="D87" s="1331">
        <f>ModeShift!J23</f>
        <v>23631.228037168141</v>
      </c>
      <c r="E87" s="1065">
        <f t="shared" si="18"/>
        <v>98781.075999445267</v>
      </c>
      <c r="G87" s="782" t="s">
        <v>475</v>
      </c>
      <c r="M87" s="782"/>
      <c r="N87" s="782"/>
      <c r="O87" s="782"/>
      <c r="P87" s="782"/>
      <c r="Q87" s="782"/>
      <c r="R87" s="782"/>
      <c r="AP87" s="782"/>
      <c r="AQ87" s="783"/>
      <c r="AR87" s="828"/>
      <c r="AS87" s="828"/>
      <c r="AT87" s="829"/>
      <c r="AU87" s="829"/>
      <c r="AV87" s="784"/>
      <c r="AW87" s="821"/>
      <c r="AX87" s="822"/>
      <c r="AY87" s="823"/>
      <c r="AZ87" s="824"/>
    </row>
    <row r="88" spans="1:52" ht="14.25" x14ac:dyDescent="0.25">
      <c r="A88" s="802">
        <v>15</v>
      </c>
      <c r="B88" s="834">
        <v>2032</v>
      </c>
      <c r="C88" s="805">
        <f>Emissions!D19</f>
        <v>132568.71927363565</v>
      </c>
      <c r="D88" s="1331">
        <f>ModeShift!J24</f>
        <v>24590.002366387507</v>
      </c>
      <c r="E88" s="1065">
        <f t="shared" si="18"/>
        <v>100874.20312224395</v>
      </c>
      <c r="M88" s="782"/>
      <c r="N88" s="782"/>
      <c r="O88" s="782"/>
      <c r="P88" s="782"/>
      <c r="Q88" s="782"/>
      <c r="R88" s="782"/>
      <c r="AP88" s="782"/>
      <c r="AQ88" s="783"/>
      <c r="AR88" s="828"/>
      <c r="AS88" s="828"/>
      <c r="AT88" s="829"/>
      <c r="AU88" s="829"/>
      <c r="AV88" s="784"/>
      <c r="AW88" s="821"/>
      <c r="AX88" s="822"/>
      <c r="AY88" s="823"/>
      <c r="AZ88" s="824"/>
    </row>
    <row r="89" spans="1:52" ht="14.25" x14ac:dyDescent="0.25">
      <c r="A89" s="802">
        <v>16</v>
      </c>
      <c r="B89" s="834">
        <v>2033</v>
      </c>
      <c r="C89" s="805">
        <f>Emissions!D20</f>
        <v>139509.90116577421</v>
      </c>
      <c r="D89" s="1331">
        <f>ModeShift!J25</f>
        <v>25567.466165541162</v>
      </c>
      <c r="E89" s="1065">
        <f t="shared" si="18"/>
        <v>102870.75773437029</v>
      </c>
      <c r="H89" s="782" t="s">
        <v>475</v>
      </c>
      <c r="M89" s="782"/>
      <c r="N89" s="782"/>
      <c r="O89" s="782"/>
      <c r="P89" s="782"/>
      <c r="Q89" s="782"/>
      <c r="R89" s="782"/>
      <c r="AP89" s="782"/>
      <c r="AQ89" s="783"/>
      <c r="AR89" s="828"/>
      <c r="AS89" s="828"/>
      <c r="AT89" s="829"/>
      <c r="AU89" s="829"/>
      <c r="AV89" s="784"/>
      <c r="AW89" s="821"/>
      <c r="AX89" s="822"/>
      <c r="AY89" s="823"/>
      <c r="AZ89" s="824"/>
    </row>
    <row r="90" spans="1:52" ht="14.25" x14ac:dyDescent="0.25">
      <c r="A90" s="802">
        <v>17</v>
      </c>
      <c r="B90" s="834">
        <v>2034</v>
      </c>
      <c r="C90" s="805">
        <f>Emissions!D21</f>
        <v>146607.55820614015</v>
      </c>
      <c r="D90" s="1331">
        <f>ModeShift!J26</f>
        <v>26563.619434629087</v>
      </c>
      <c r="E90" s="1065">
        <f t="shared" si="18"/>
        <v>104771.41041897172</v>
      </c>
      <c r="M90" s="782"/>
      <c r="N90" s="782"/>
      <c r="O90" s="782"/>
      <c r="P90" s="782"/>
      <c r="Q90" s="782"/>
      <c r="R90" s="782"/>
      <c r="AP90" s="782"/>
      <c r="AQ90" s="783"/>
      <c r="AR90" s="828"/>
      <c r="AS90" s="828"/>
      <c r="AT90" s="829"/>
      <c r="AU90" s="829"/>
      <c r="AV90" s="784"/>
      <c r="AW90" s="821"/>
      <c r="AX90" s="822"/>
      <c r="AY90" s="823"/>
      <c r="AZ90" s="824"/>
    </row>
    <row r="91" spans="1:52" ht="14.25" x14ac:dyDescent="0.25">
      <c r="A91" s="802">
        <v>18</v>
      </c>
      <c r="B91" s="834">
        <v>2035</v>
      </c>
      <c r="C91" s="805">
        <f>Emissions!D22</f>
        <v>153861.69039473348</v>
      </c>
      <c r="D91" s="1331">
        <f>ModeShift!J27</f>
        <v>30811.353012818941</v>
      </c>
      <c r="E91" s="1065">
        <f t="shared" si="18"/>
        <v>108475.949869684</v>
      </c>
      <c r="M91" s="782"/>
      <c r="N91" s="782"/>
      <c r="O91" s="782"/>
      <c r="P91" s="782"/>
      <c r="Q91" s="782"/>
      <c r="R91" s="782"/>
      <c r="AP91" s="782"/>
      <c r="AQ91" s="783"/>
      <c r="AR91" s="828"/>
      <c r="AS91" s="828"/>
      <c r="AT91" s="829"/>
      <c r="AU91" s="829"/>
      <c r="AV91" s="784"/>
      <c r="AW91" s="821"/>
      <c r="AX91" s="822"/>
      <c r="AY91" s="823"/>
      <c r="AZ91" s="824"/>
    </row>
    <row r="92" spans="1:52" ht="14.25" x14ac:dyDescent="0.25">
      <c r="A92" s="802">
        <v>19</v>
      </c>
      <c r="B92" s="834">
        <v>2036</v>
      </c>
      <c r="C92" s="805">
        <f>Emissions!D23</f>
        <v>161272.29773155425</v>
      </c>
      <c r="D92" s="1331">
        <f>ModeShift!J28</f>
        <v>31966.041245243359</v>
      </c>
      <c r="E92" s="1065">
        <f t="shared" si="18"/>
        <v>110201.12456281386</v>
      </c>
      <c r="M92" s="782"/>
      <c r="N92" s="782"/>
      <c r="O92" s="782"/>
      <c r="P92" s="782"/>
      <c r="Q92" s="782"/>
      <c r="R92" s="782"/>
      <c r="AP92" s="782"/>
      <c r="AQ92" s="783"/>
      <c r="AR92" s="828"/>
      <c r="AS92" s="828"/>
      <c r="AT92" s="829"/>
      <c r="AU92" s="829"/>
      <c r="AV92" s="784"/>
      <c r="AW92" s="821"/>
      <c r="AX92" s="822"/>
      <c r="AY92" s="823"/>
      <c r="AZ92" s="824"/>
    </row>
    <row r="93" spans="1:52" ht="14.25" x14ac:dyDescent="0.25">
      <c r="A93" s="802">
        <v>20</v>
      </c>
      <c r="B93" s="834">
        <v>2037</v>
      </c>
      <c r="C93" s="805">
        <f>Emissions!D24</f>
        <v>168839.3802166025</v>
      </c>
      <c r="D93" s="1331">
        <f>ModeShift!J29</f>
        <v>33141.609824517494</v>
      </c>
      <c r="E93" s="1065">
        <f t="shared" si="18"/>
        <v>111831.97699231972</v>
      </c>
      <c r="M93" s="782"/>
      <c r="N93" s="782"/>
      <c r="O93" s="782"/>
      <c r="P93" s="782"/>
      <c r="Q93" s="782"/>
      <c r="R93" s="782"/>
      <c r="AP93" s="782"/>
      <c r="AQ93" s="783"/>
      <c r="AR93" s="828"/>
      <c r="AS93" s="828"/>
      <c r="AT93" s="829"/>
      <c r="AU93" s="829"/>
      <c r="AV93" s="784"/>
      <c r="AW93" s="821"/>
      <c r="AX93" s="822"/>
      <c r="AY93" s="823"/>
      <c r="AZ93" s="824"/>
    </row>
    <row r="94" spans="1:52" ht="14.25" x14ac:dyDescent="0.25">
      <c r="A94" s="802">
        <v>21</v>
      </c>
      <c r="B94" s="834">
        <v>2038</v>
      </c>
      <c r="C94" s="805">
        <f>Emissions!D25</f>
        <v>176562.93784987816</v>
      </c>
      <c r="D94" s="1331">
        <f>ModeShift!J30</f>
        <v>34338.058750641343</v>
      </c>
      <c r="E94" s="1065">
        <f t="shared" si="18"/>
        <v>113369.67801110905</v>
      </c>
      <c r="M94" s="782"/>
      <c r="N94" s="782"/>
      <c r="O94" s="782"/>
      <c r="P94" s="782"/>
      <c r="Q94" s="782"/>
      <c r="R94" s="782"/>
      <c r="AP94" s="782"/>
      <c r="AQ94" s="783"/>
      <c r="AR94" s="828"/>
      <c r="AS94" s="828"/>
      <c r="AT94" s="829"/>
      <c r="AU94" s="829"/>
      <c r="AV94" s="784"/>
      <c r="AW94" s="821"/>
      <c r="AX94" s="822"/>
      <c r="AY94" s="823"/>
      <c r="AZ94" s="824"/>
    </row>
    <row r="95" spans="1:52" ht="14.25" x14ac:dyDescent="0.25">
      <c r="A95" s="802">
        <v>22</v>
      </c>
      <c r="B95" s="834">
        <v>2039</v>
      </c>
      <c r="C95" s="805">
        <f>Emissions!D26</f>
        <v>187237.56109549303</v>
      </c>
      <c r="D95" s="1331">
        <f>ModeShift!J31</f>
        <v>36094.106023972701</v>
      </c>
      <c r="E95" s="1065">
        <f t="shared" ref="E95:E106" si="19">(C95+D95)/(1+$E$4)^A95</f>
        <v>116555.12227925507</v>
      </c>
      <c r="M95" s="782"/>
      <c r="N95" s="782"/>
      <c r="O95" s="782"/>
      <c r="P95" s="782"/>
      <c r="Q95" s="782"/>
      <c r="R95" s="782"/>
      <c r="AP95" s="782"/>
      <c r="AQ95" s="783"/>
      <c r="AR95" s="828"/>
      <c r="AS95" s="828"/>
      <c r="AT95" s="829"/>
      <c r="AU95" s="829"/>
      <c r="AV95" s="784"/>
      <c r="AW95" s="821"/>
      <c r="AX95" s="822"/>
      <c r="AY95" s="823"/>
      <c r="AZ95" s="824"/>
    </row>
    <row r="96" spans="1:52" ht="14.25" x14ac:dyDescent="0.25">
      <c r="A96" s="802">
        <v>23</v>
      </c>
      <c r="B96" s="834">
        <v>2040</v>
      </c>
      <c r="C96" s="805">
        <f>Emissions!D27</f>
        <v>195352.30659933711</v>
      </c>
      <c r="D96" s="1331">
        <f>ModeShift!J32</f>
        <v>37342.755817220837</v>
      </c>
      <c r="E96" s="1065">
        <f t="shared" si="19"/>
        <v>117904.66802680268</v>
      </c>
      <c r="F96" s="782" t="s">
        <v>475</v>
      </c>
      <c r="M96" s="782"/>
      <c r="N96" s="782"/>
      <c r="O96" s="782"/>
      <c r="P96" s="782"/>
      <c r="Q96" s="782"/>
      <c r="R96" s="782"/>
      <c r="AP96" s="782"/>
      <c r="AQ96" s="783"/>
      <c r="AR96" s="828"/>
      <c r="AS96" s="828"/>
      <c r="AT96" s="829"/>
      <c r="AU96" s="829"/>
      <c r="AV96" s="784"/>
      <c r="AW96" s="821"/>
      <c r="AX96" s="822"/>
      <c r="AY96" s="823"/>
      <c r="AZ96" s="824"/>
    </row>
    <row r="97" spans="1:56" ht="14.25" x14ac:dyDescent="0.25">
      <c r="A97" s="802">
        <v>24</v>
      </c>
      <c r="B97" s="834">
        <v>2041</v>
      </c>
      <c r="C97" s="805">
        <f>Emissions!D28</f>
        <v>198225.13463756267</v>
      </c>
      <c r="D97" s="1331">
        <f>ModeShift!J33</f>
        <v>37891.913991003501</v>
      </c>
      <c r="E97" s="1065">
        <f t="shared" si="19"/>
        <v>116153.94194530821</v>
      </c>
      <c r="M97" s="782"/>
      <c r="N97" s="782"/>
      <c r="O97" s="782"/>
      <c r="P97" s="782"/>
      <c r="Q97" s="782"/>
      <c r="R97" s="782"/>
      <c r="AP97" s="782"/>
      <c r="AQ97" s="783"/>
      <c r="AR97" s="828"/>
      <c r="AS97" s="828"/>
      <c r="AT97" s="829"/>
      <c r="AU97" s="829"/>
      <c r="AV97" s="784"/>
      <c r="AW97" s="821"/>
      <c r="AX97" s="822"/>
      <c r="AY97" s="823"/>
      <c r="AZ97" s="824"/>
    </row>
    <row r="98" spans="1:56" ht="14.25" x14ac:dyDescent="0.25">
      <c r="A98" s="802">
        <v>25</v>
      </c>
      <c r="B98" s="834">
        <v>2042</v>
      </c>
      <c r="C98" s="805">
        <f>Emissions!D29</f>
        <v>198225.13463756267</v>
      </c>
      <c r="D98" s="1331">
        <f>ModeShift!J34</f>
        <v>37891.913991003501</v>
      </c>
      <c r="E98" s="1065">
        <f t="shared" si="19"/>
        <v>112770.81742262932</v>
      </c>
      <c r="M98" s="782"/>
      <c r="N98" s="782"/>
      <c r="O98" s="782"/>
      <c r="P98" s="782"/>
      <c r="Q98" s="782"/>
      <c r="R98" s="782"/>
      <c r="AP98" s="782"/>
      <c r="AQ98" s="783"/>
      <c r="AR98" s="828"/>
      <c r="AS98" s="828"/>
      <c r="AT98" s="829"/>
      <c r="AU98" s="829"/>
      <c r="AV98" s="784"/>
      <c r="AW98" s="821"/>
      <c r="AX98" s="822"/>
      <c r="AY98" s="823"/>
      <c r="AZ98" s="824"/>
    </row>
    <row r="99" spans="1:56" ht="14.25" x14ac:dyDescent="0.25">
      <c r="A99" s="802">
        <v>26</v>
      </c>
      <c r="B99" s="834">
        <v>2043</v>
      </c>
      <c r="C99" s="805">
        <f>Emissions!D30</f>
        <v>201097.96267578821</v>
      </c>
      <c r="D99" s="1331">
        <f>ModeShift!J35</f>
        <v>46093.330577791567</v>
      </c>
      <c r="E99" s="1065">
        <f t="shared" si="19"/>
        <v>114621.29935039009</v>
      </c>
      <c r="M99" s="782"/>
      <c r="N99" s="782"/>
      <c r="O99" s="782"/>
      <c r="P99" s="782"/>
      <c r="Q99" s="782"/>
      <c r="R99" s="782"/>
      <c r="AP99" s="782"/>
      <c r="AQ99" s="783"/>
      <c r="AR99" s="828"/>
      <c r="AS99" s="828"/>
      <c r="AT99" s="829"/>
      <c r="AU99" s="829"/>
      <c r="AV99" s="784"/>
      <c r="AW99" s="821"/>
      <c r="AX99" s="822"/>
      <c r="AY99" s="823"/>
      <c r="AZ99" s="824"/>
    </row>
    <row r="100" spans="1:56" ht="14.25" x14ac:dyDescent="0.25">
      <c r="A100" s="802">
        <v>27</v>
      </c>
      <c r="B100" s="834">
        <v>2044</v>
      </c>
      <c r="C100" s="805">
        <f>Emissions!D31</f>
        <v>203970.79071401374</v>
      </c>
      <c r="D100" s="1331">
        <f>ModeShift!J36</f>
        <v>46751.806728902877</v>
      </c>
      <c r="E100" s="1065">
        <f t="shared" si="19"/>
        <v>112872.56940190982</v>
      </c>
      <c r="M100" s="782"/>
      <c r="N100" s="782"/>
      <c r="O100" s="782"/>
      <c r="P100" s="782"/>
      <c r="Q100" s="782"/>
      <c r="R100" s="782"/>
      <c r="AP100" s="782"/>
      <c r="AQ100" s="783"/>
      <c r="AR100" s="828"/>
      <c r="AS100" s="828"/>
      <c r="AT100" s="829"/>
      <c r="AU100" s="829"/>
      <c r="AV100" s="784"/>
      <c r="AW100" s="821"/>
      <c r="AX100" s="822"/>
      <c r="AY100" s="823"/>
      <c r="AZ100" s="824"/>
    </row>
    <row r="101" spans="1:56" ht="14.25" x14ac:dyDescent="0.25">
      <c r="A101" s="802">
        <v>28</v>
      </c>
      <c r="B101" s="834">
        <v>2045</v>
      </c>
      <c r="C101" s="805">
        <f>Emissions!D32</f>
        <v>206843.61875223927</v>
      </c>
      <c r="D101" s="1331">
        <f>ModeShift!J37</f>
        <v>47410.28288001418</v>
      </c>
      <c r="E101" s="1065">
        <f t="shared" si="19"/>
        <v>111128.46980633811</v>
      </c>
      <c r="M101" s="782"/>
      <c r="N101" s="782"/>
      <c r="O101" s="782"/>
      <c r="P101" s="782"/>
      <c r="Q101" s="782"/>
      <c r="R101" s="782"/>
      <c r="AP101" s="782"/>
      <c r="AQ101" s="783"/>
      <c r="AR101" s="828"/>
      <c r="AS101" s="828"/>
      <c r="AT101" s="829"/>
      <c r="AU101" s="829"/>
      <c r="AV101" s="784"/>
      <c r="AW101" s="821"/>
      <c r="AX101" s="822"/>
      <c r="AY101" s="823"/>
      <c r="AZ101" s="824"/>
    </row>
    <row r="102" spans="1:56" ht="14.25" x14ac:dyDescent="0.25">
      <c r="A102" s="802">
        <v>29</v>
      </c>
      <c r="B102" s="834">
        <v>2046</v>
      </c>
      <c r="C102" s="805">
        <f>Emissions!D33</f>
        <v>209716.4467904648</v>
      </c>
      <c r="D102" s="1331">
        <f>ModeShift!J38</f>
        <v>48068.75903112549</v>
      </c>
      <c r="E102" s="1065">
        <f t="shared" si="19"/>
        <v>109390.21434550543</v>
      </c>
      <c r="M102" s="782"/>
      <c r="N102" s="782"/>
      <c r="O102" s="782"/>
      <c r="P102" s="782"/>
      <c r="Q102" s="782"/>
      <c r="R102" s="782"/>
      <c r="AP102" s="782"/>
      <c r="AQ102" s="783"/>
      <c r="AR102" s="828"/>
      <c r="AS102" s="828"/>
      <c r="AT102" s="829"/>
      <c r="AU102" s="829"/>
      <c r="AV102" s="784"/>
      <c r="AW102" s="821"/>
      <c r="AX102" s="822"/>
      <c r="AY102" s="823"/>
      <c r="AZ102" s="824"/>
    </row>
    <row r="103" spans="1:56" ht="14.25" x14ac:dyDescent="0.25">
      <c r="A103" s="802">
        <v>30</v>
      </c>
      <c r="B103" s="834">
        <v>2047</v>
      </c>
      <c r="C103" s="805">
        <f>Emissions!D34</f>
        <v>215462.10286691593</v>
      </c>
      <c r="D103" s="1331">
        <f>ModeShift!J39</f>
        <v>49385.711333348103</v>
      </c>
      <c r="E103" s="1065">
        <f t="shared" si="19"/>
        <v>109113.79273723777</v>
      </c>
      <c r="M103" s="782"/>
      <c r="N103" s="782"/>
      <c r="O103" s="782"/>
      <c r="P103" s="782"/>
      <c r="Q103" s="782"/>
      <c r="R103" s="782"/>
      <c r="AP103" s="782"/>
      <c r="AQ103" s="783"/>
      <c r="AR103" s="828"/>
      <c r="AS103" s="828"/>
      <c r="AT103" s="829"/>
      <c r="AU103" s="829"/>
      <c r="AV103" s="784"/>
      <c r="AW103" s="821"/>
      <c r="AX103" s="822"/>
      <c r="AY103" s="823"/>
      <c r="AZ103" s="824"/>
    </row>
    <row r="104" spans="1:56" ht="14.25" x14ac:dyDescent="0.25">
      <c r="A104" s="802">
        <v>31</v>
      </c>
      <c r="B104" s="834">
        <v>2048</v>
      </c>
      <c r="C104" s="805">
        <f>Emissions!D35</f>
        <v>218334.93090514149</v>
      </c>
      <c r="D104" s="1331">
        <f>ModeShift!J40</f>
        <v>50044.187484459413</v>
      </c>
      <c r="E104" s="1065">
        <f t="shared" si="19"/>
        <v>107348.19738550251</v>
      </c>
      <c r="M104" s="782"/>
      <c r="N104" s="782"/>
      <c r="O104" s="782"/>
      <c r="P104" s="782"/>
      <c r="Q104" s="782"/>
      <c r="R104" s="782"/>
      <c r="AP104" s="782"/>
      <c r="AQ104" s="783"/>
      <c r="AR104" s="828"/>
      <c r="AS104" s="828"/>
      <c r="AT104" s="829"/>
      <c r="AU104" s="829"/>
      <c r="AV104" s="784"/>
      <c r="AW104" s="821"/>
      <c r="AX104" s="822"/>
      <c r="AY104" s="823"/>
      <c r="AZ104" s="824"/>
    </row>
    <row r="105" spans="1:56" ht="14.25" x14ac:dyDescent="0.25">
      <c r="A105" s="802">
        <v>32</v>
      </c>
      <c r="B105" s="834">
        <v>2049</v>
      </c>
      <c r="C105" s="805">
        <f>Emissions!D36</f>
        <v>221207.75894336699</v>
      </c>
      <c r="D105" s="1331">
        <f>ModeShift!J41</f>
        <v>50702.663635570723</v>
      </c>
      <c r="E105" s="1065">
        <f t="shared" si="19"/>
        <v>105592.88705523372</v>
      </c>
      <c r="H105" s="782" t="s">
        <v>475</v>
      </c>
      <c r="M105" s="782"/>
      <c r="N105" s="782"/>
      <c r="O105" s="782"/>
      <c r="P105" s="782"/>
      <c r="Q105" s="782"/>
      <c r="R105" s="782"/>
      <c r="AP105" s="782"/>
      <c r="AQ105" s="783"/>
      <c r="AR105" s="828"/>
      <c r="AS105" s="828"/>
      <c r="AT105" s="829"/>
      <c r="AU105" s="829"/>
      <c r="AV105" s="784"/>
      <c r="AW105" s="821"/>
      <c r="AX105" s="822"/>
      <c r="AY105" s="823"/>
      <c r="AZ105" s="824"/>
    </row>
    <row r="106" spans="1:56" ht="14.25" x14ac:dyDescent="0.25">
      <c r="A106" s="802">
        <v>33</v>
      </c>
      <c r="B106" s="834">
        <v>2050</v>
      </c>
      <c r="C106" s="805">
        <f>Emissions!D37</f>
        <v>224080.58698159255</v>
      </c>
      <c r="D106" s="1331">
        <f>ModeShift!J42</f>
        <v>51361.139786682026</v>
      </c>
      <c r="E106" s="1065">
        <f t="shared" si="19"/>
        <v>103848.7604376274</v>
      </c>
      <c r="M106" s="782"/>
      <c r="N106" s="782"/>
      <c r="O106" s="782"/>
      <c r="P106" s="782"/>
      <c r="Q106" s="782"/>
      <c r="R106" s="782"/>
      <c r="AP106" s="782"/>
      <c r="AQ106" s="783"/>
      <c r="AR106" s="828"/>
      <c r="AS106" s="828"/>
      <c r="AT106" s="829"/>
      <c r="AU106" s="829"/>
      <c r="AV106" s="784"/>
      <c r="AW106" s="821"/>
      <c r="AX106" s="822"/>
      <c r="AY106" s="823"/>
      <c r="AZ106" s="824"/>
    </row>
    <row r="107" spans="1:56" ht="15" thickBot="1" x14ac:dyDescent="0.3">
      <c r="A107" s="837" t="s">
        <v>387</v>
      </c>
      <c r="B107" s="838"/>
      <c r="C107" s="839">
        <f>SUM(C78:C106)</f>
        <v>4535311.326993593</v>
      </c>
      <c r="D107" s="1061">
        <f>SUM(D78:D106)</f>
        <v>934589.42808757315</v>
      </c>
      <c r="E107" s="840">
        <f>SUM(E78:E106)</f>
        <v>2959753.2907000799</v>
      </c>
      <c r="M107" s="782"/>
      <c r="N107" s="782"/>
      <c r="O107" s="782"/>
      <c r="P107" s="782"/>
      <c r="Q107" s="782"/>
      <c r="R107" s="782"/>
      <c r="AP107" s="782"/>
      <c r="AQ107" s="783"/>
      <c r="AR107" s="828"/>
      <c r="AS107" s="828"/>
      <c r="AT107" s="829"/>
      <c r="AU107" s="829"/>
      <c r="AV107" s="784"/>
      <c r="AW107" s="821"/>
      <c r="AX107" s="822"/>
      <c r="AY107" s="823"/>
      <c r="AZ107" s="824"/>
    </row>
    <row r="108" spans="1:56" ht="14.25" x14ac:dyDescent="0.25">
      <c r="AV108" s="828"/>
      <c r="AW108" s="828"/>
      <c r="AX108" s="829"/>
      <c r="AY108" s="829"/>
      <c r="BA108" s="821"/>
      <c r="BB108" s="822"/>
      <c r="BC108" s="823"/>
      <c r="BD108" s="824"/>
    </row>
    <row r="109" spans="1:56" ht="15.75" customHeight="1" thickBot="1" x14ac:dyDescent="0.3">
      <c r="A109" s="1170" t="s">
        <v>713</v>
      </c>
      <c r="B109" s="1170"/>
      <c r="C109" s="1170"/>
      <c r="D109" s="1170"/>
      <c r="E109" s="1170"/>
      <c r="F109" s="1170"/>
      <c r="G109" s="1170"/>
      <c r="H109" s="1170"/>
      <c r="I109" s="843"/>
      <c r="J109" s="781"/>
      <c r="K109" s="781"/>
      <c r="L109" s="781"/>
      <c r="AE109" s="782"/>
      <c r="AF109" s="783"/>
      <c r="AG109" s="828"/>
      <c r="AH109" s="828"/>
      <c r="AI109" s="829"/>
      <c r="AJ109" s="829"/>
      <c r="AK109" s="784"/>
      <c r="AL109" s="821"/>
      <c r="AM109" s="822"/>
      <c r="AN109" s="823"/>
      <c r="AO109" s="824"/>
      <c r="AP109" s="782"/>
      <c r="AQ109" s="782"/>
      <c r="AR109" s="782"/>
      <c r="AS109" s="782"/>
      <c r="AU109" s="782"/>
      <c r="AZ109" s="782"/>
    </row>
    <row r="110" spans="1:56" s="848" customFormat="1" ht="15" thickBot="1" x14ac:dyDescent="0.3">
      <c r="A110" s="785" t="s">
        <v>208</v>
      </c>
      <c r="B110" s="830" t="s">
        <v>206</v>
      </c>
      <c r="C110" s="787" t="s">
        <v>204</v>
      </c>
      <c r="D110" s="787" t="s">
        <v>309</v>
      </c>
      <c r="E110" s="844" t="s">
        <v>310</v>
      </c>
      <c r="F110" s="785" t="s">
        <v>311</v>
      </c>
      <c r="G110" s="787" t="s">
        <v>312</v>
      </c>
      <c r="H110" s="787" t="s">
        <v>313</v>
      </c>
      <c r="I110" s="781"/>
      <c r="J110" s="847"/>
      <c r="K110" s="847"/>
      <c r="L110" s="847"/>
      <c r="M110" s="847"/>
      <c r="N110" s="847"/>
      <c r="O110" s="847"/>
      <c r="P110" s="847"/>
      <c r="Q110" s="847"/>
      <c r="R110" s="847"/>
      <c r="S110" s="847"/>
      <c r="T110" s="847"/>
      <c r="U110" s="847"/>
      <c r="V110" s="847"/>
      <c r="W110" s="847"/>
      <c r="X110" s="847"/>
      <c r="Y110" s="847"/>
      <c r="Z110" s="847"/>
      <c r="AA110" s="847"/>
      <c r="AB110" s="847"/>
      <c r="AC110" s="847"/>
      <c r="AE110" s="849"/>
      <c r="AF110" s="828"/>
      <c r="AG110" s="828"/>
      <c r="AH110" s="850"/>
      <c r="AI110" s="850"/>
      <c r="AJ110" s="851"/>
      <c r="AK110" s="821"/>
      <c r="AL110" s="803"/>
      <c r="AM110" s="852"/>
      <c r="AN110" s="853"/>
    </row>
    <row r="111" spans="1:56" ht="36.75" customHeight="1" thickBot="1" x14ac:dyDescent="0.3">
      <c r="A111" s="1165" t="s">
        <v>7</v>
      </c>
      <c r="B111" s="1178" t="s">
        <v>316</v>
      </c>
      <c r="C111" s="1328" t="s">
        <v>826</v>
      </c>
      <c r="D111" s="1328" t="s">
        <v>827</v>
      </c>
      <c r="E111" s="1328" t="s">
        <v>828</v>
      </c>
      <c r="F111" s="891" t="s">
        <v>390</v>
      </c>
      <c r="G111" s="1168" t="s">
        <v>424</v>
      </c>
      <c r="H111" s="1169"/>
      <c r="I111" s="781"/>
      <c r="J111" s="781"/>
      <c r="K111" s="781"/>
      <c r="L111" s="781"/>
      <c r="AD111" s="782"/>
      <c r="AE111" s="783"/>
      <c r="AF111" s="828"/>
      <c r="AG111" s="828"/>
      <c r="AH111" s="829"/>
      <c r="AI111" s="829"/>
      <c r="AJ111" s="784"/>
      <c r="AK111" s="821"/>
      <c r="AL111" s="822"/>
      <c r="AM111" s="823"/>
      <c r="AN111" s="824"/>
      <c r="AO111" s="782"/>
      <c r="AP111" s="782"/>
      <c r="AQ111" s="782"/>
      <c r="AR111" s="782"/>
      <c r="AS111" s="782"/>
      <c r="AU111" s="782"/>
      <c r="AZ111" s="782"/>
    </row>
    <row r="112" spans="1:56" ht="15" thickBot="1" x14ac:dyDescent="0.3">
      <c r="A112" s="1166"/>
      <c r="B112" s="1179"/>
      <c r="C112" s="1332" t="s">
        <v>386</v>
      </c>
      <c r="D112" s="1333" t="s">
        <v>386</v>
      </c>
      <c r="E112" s="1333" t="s">
        <v>386</v>
      </c>
      <c r="F112" s="793" t="s">
        <v>386</v>
      </c>
      <c r="G112" s="794">
        <f>3/100</f>
        <v>0.03</v>
      </c>
      <c r="H112" s="795">
        <f>7/100</f>
        <v>7.0000000000000007E-2</v>
      </c>
      <c r="I112" s="781"/>
      <c r="J112" s="781"/>
      <c r="K112" s="781"/>
      <c r="L112" s="781"/>
      <c r="AD112" s="782"/>
      <c r="AE112" s="783"/>
      <c r="AF112" s="828"/>
      <c r="AG112" s="828"/>
      <c r="AH112" s="829"/>
      <c r="AI112" s="829"/>
      <c r="AJ112" s="784"/>
      <c r="AK112" s="821"/>
      <c r="AL112" s="822"/>
      <c r="AM112" s="823"/>
      <c r="AN112" s="824"/>
      <c r="AO112" s="782"/>
      <c r="AP112" s="782"/>
      <c r="AQ112" s="782"/>
      <c r="AR112" s="782"/>
      <c r="AS112" s="782"/>
      <c r="AU112" s="782"/>
      <c r="AZ112" s="782"/>
    </row>
    <row r="113" spans="1:52" ht="28.5" x14ac:dyDescent="0.25">
      <c r="A113" s="1167"/>
      <c r="B113" s="1180"/>
      <c r="C113" s="894" t="s">
        <v>5</v>
      </c>
      <c r="D113" s="892" t="s">
        <v>5</v>
      </c>
      <c r="E113" s="892" t="s">
        <v>5</v>
      </c>
      <c r="F113" s="894" t="s">
        <v>5</v>
      </c>
      <c r="G113" s="798" t="s">
        <v>422</v>
      </c>
      <c r="H113" s="893" t="s">
        <v>423</v>
      </c>
      <c r="I113" s="781"/>
      <c r="J113" s="781"/>
      <c r="K113" s="781"/>
      <c r="L113" s="781"/>
      <c r="AD113" s="782"/>
      <c r="AE113" s="783"/>
      <c r="AF113" s="828"/>
      <c r="AG113" s="828"/>
      <c r="AH113" s="829"/>
      <c r="AI113" s="829"/>
      <c r="AJ113" s="784"/>
      <c r="AK113" s="821"/>
      <c r="AL113" s="822"/>
      <c r="AM113" s="823"/>
      <c r="AN113" s="824"/>
      <c r="AO113" s="782"/>
      <c r="AP113" s="782"/>
      <c r="AQ113" s="782"/>
      <c r="AR113" s="782"/>
      <c r="AS113" s="782"/>
      <c r="AU113" s="782"/>
      <c r="AZ113" s="782"/>
    </row>
    <row r="114" spans="1:52" ht="14.25" x14ac:dyDescent="0.25">
      <c r="A114" s="802">
        <v>5</v>
      </c>
      <c r="B114" s="834">
        <v>2022</v>
      </c>
      <c r="C114" s="836">
        <f>Emissions!E9</f>
        <v>7783.0958962671639</v>
      </c>
      <c r="D114" s="836">
        <f>Emissions!F9</f>
        <v>76566.445648984343</v>
      </c>
      <c r="E114" s="836">
        <f>Emissions!G9</f>
        <v>62632.235076805198</v>
      </c>
      <c r="F114" s="854">
        <f t="shared" ref="F114:F142" si="20">SUM(C114:E114)</f>
        <v>146981.7766220567</v>
      </c>
      <c r="G114" s="806">
        <f t="shared" ref="G114:G132" si="21">F114/(1+$E$4)^A114</f>
        <v>126787.77165857708</v>
      </c>
      <c r="H114" s="807">
        <f t="shared" ref="H114:H132" si="22">F114/(1+$F$4)^A114</f>
        <v>104795.97536748217</v>
      </c>
      <c r="I114" s="781"/>
      <c r="J114" s="781"/>
      <c r="K114" s="781"/>
      <c r="L114" s="781"/>
      <c r="AD114" s="782"/>
      <c r="AE114" s="783"/>
      <c r="AF114" s="828"/>
      <c r="AG114" s="828"/>
      <c r="AH114" s="829"/>
      <c r="AI114" s="829"/>
      <c r="AJ114" s="784"/>
      <c r="AK114" s="821"/>
      <c r="AL114" s="822"/>
      <c r="AM114" s="823"/>
      <c r="AN114" s="824"/>
      <c r="AO114" s="782"/>
      <c r="AP114" s="782"/>
      <c r="AQ114" s="782"/>
      <c r="AR114" s="782"/>
      <c r="AS114" s="782"/>
      <c r="AU114" s="782"/>
      <c r="AZ114" s="782"/>
    </row>
    <row r="115" spans="1:52" ht="14.25" x14ac:dyDescent="0.25">
      <c r="A115" s="802">
        <v>6</v>
      </c>
      <c r="B115" s="834">
        <v>2023</v>
      </c>
      <c r="C115" s="836">
        <f>Emissions!E10</f>
        <v>8199.2414146090287</v>
      </c>
      <c r="D115" s="836">
        <f>Emissions!F10</f>
        <v>80649.362011295772</v>
      </c>
      <c r="E115" s="836">
        <f>Emissions!G10</f>
        <v>65962.237398082056</v>
      </c>
      <c r="F115" s="854">
        <f t="shared" si="20"/>
        <v>154810.84082398686</v>
      </c>
      <c r="G115" s="806">
        <f t="shared" si="21"/>
        <v>129651.64195404817</v>
      </c>
      <c r="H115" s="807">
        <f t="shared" si="22"/>
        <v>103156.99994555955</v>
      </c>
      <c r="I115" s="781"/>
      <c r="J115" s="781"/>
      <c r="K115" s="781"/>
      <c r="L115" s="781"/>
      <c r="AD115" s="782"/>
      <c r="AE115" s="783"/>
      <c r="AF115" s="828"/>
      <c r="AG115" s="828"/>
      <c r="AH115" s="829"/>
      <c r="AI115" s="829"/>
      <c r="AJ115" s="784"/>
      <c r="AK115" s="821"/>
      <c r="AL115" s="822"/>
      <c r="AM115" s="823"/>
      <c r="AN115" s="824"/>
      <c r="AO115" s="782"/>
      <c r="AP115" s="782"/>
      <c r="AQ115" s="782"/>
      <c r="AR115" s="782"/>
      <c r="AS115" s="782"/>
      <c r="AU115" s="782"/>
      <c r="AZ115" s="782"/>
    </row>
    <row r="116" spans="1:52" ht="14.25" x14ac:dyDescent="0.25">
      <c r="A116" s="802">
        <v>7</v>
      </c>
      <c r="B116" s="834">
        <v>2024</v>
      </c>
      <c r="C116" s="836">
        <f>Emissions!E11</f>
        <v>8615.3869329508925</v>
      </c>
      <c r="D116" s="836">
        <f>Emissions!F11</f>
        <v>84732.278373607172</v>
      </c>
      <c r="E116" s="836">
        <f>Emissions!G11</f>
        <v>69292.239719358913</v>
      </c>
      <c r="F116" s="854">
        <f t="shared" si="20"/>
        <v>162639.90502591699</v>
      </c>
      <c r="G116" s="806">
        <f t="shared" si="21"/>
        <v>132241.12618226235</v>
      </c>
      <c r="H116" s="807">
        <f t="shared" si="22"/>
        <v>101283.95887502421</v>
      </c>
      <c r="I116" s="781"/>
      <c r="J116" s="781"/>
      <c r="K116" s="781"/>
      <c r="L116" s="781"/>
      <c r="AD116" s="782"/>
      <c r="AE116" s="783"/>
      <c r="AF116" s="828"/>
      <c r="AG116" s="828"/>
      <c r="AH116" s="829"/>
      <c r="AI116" s="829"/>
      <c r="AJ116" s="784"/>
      <c r="AK116" s="821"/>
      <c r="AL116" s="822"/>
      <c r="AM116" s="823"/>
      <c r="AN116" s="824"/>
      <c r="AO116" s="782"/>
      <c r="AP116" s="782"/>
      <c r="AQ116" s="782"/>
      <c r="AR116" s="782"/>
      <c r="AS116" s="782"/>
      <c r="AU116" s="782"/>
      <c r="AZ116" s="782"/>
    </row>
    <row r="117" spans="1:52" ht="14.25" x14ac:dyDescent="0.25">
      <c r="A117" s="802">
        <v>8</v>
      </c>
      <c r="B117" s="834">
        <v>2025</v>
      </c>
      <c r="C117" s="836">
        <f>Emissions!E12</f>
        <v>9031.5324512927546</v>
      </c>
      <c r="D117" s="836">
        <f>Emissions!F12</f>
        <v>88815.194735918602</v>
      </c>
      <c r="E117" s="836">
        <f>Emissions!G12</f>
        <v>72622.2420406358</v>
      </c>
      <c r="F117" s="854">
        <f t="shared" si="20"/>
        <v>170468.96922784718</v>
      </c>
      <c r="G117" s="806">
        <f t="shared" si="21"/>
        <v>134569.77847244072</v>
      </c>
      <c r="H117" s="807">
        <f t="shared" si="22"/>
        <v>99214.492136424422</v>
      </c>
      <c r="I117" s="781"/>
      <c r="J117" s="781"/>
      <c r="K117" s="781"/>
      <c r="L117" s="781"/>
      <c r="AD117" s="782"/>
      <c r="AE117" s="783"/>
      <c r="AF117" s="828"/>
      <c r="AG117" s="828"/>
      <c r="AH117" s="829"/>
      <c r="AI117" s="829"/>
      <c r="AJ117" s="784"/>
      <c r="AK117" s="821"/>
      <c r="AL117" s="822"/>
      <c r="AM117" s="823"/>
      <c r="AN117" s="824"/>
      <c r="AO117" s="782"/>
      <c r="AP117" s="782"/>
      <c r="AQ117" s="782"/>
      <c r="AR117" s="782"/>
      <c r="AS117" s="782"/>
      <c r="AU117" s="782"/>
      <c r="AZ117" s="782"/>
    </row>
    <row r="118" spans="1:52" ht="14.25" x14ac:dyDescent="0.25">
      <c r="A118" s="802">
        <v>9</v>
      </c>
      <c r="B118" s="834">
        <v>2026</v>
      </c>
      <c r="C118" s="836">
        <f>Emissions!E13</f>
        <v>9447.6779696346184</v>
      </c>
      <c r="D118" s="836">
        <f>Emissions!F13</f>
        <v>92898.111098230016</v>
      </c>
      <c r="E118" s="836">
        <f>Emissions!G13</f>
        <v>75952.244361912657</v>
      </c>
      <c r="F118" s="854">
        <f t="shared" si="20"/>
        <v>178298.03342977731</v>
      </c>
      <c r="G118" s="806">
        <f t="shared" si="21"/>
        <v>136650.5961645447</v>
      </c>
      <c r="H118" s="807">
        <f t="shared" si="22"/>
        <v>96982.316618852303</v>
      </c>
      <c r="I118" s="781"/>
      <c r="J118" s="781"/>
      <c r="K118" s="781"/>
      <c r="L118" s="781"/>
      <c r="AD118" s="782"/>
      <c r="AE118" s="783"/>
      <c r="AF118" s="828"/>
      <c r="AG118" s="828"/>
      <c r="AH118" s="829"/>
      <c r="AI118" s="829"/>
      <c r="AJ118" s="784"/>
      <c r="AK118" s="821"/>
      <c r="AL118" s="822"/>
      <c r="AM118" s="823"/>
      <c r="AN118" s="824"/>
      <c r="AO118" s="782"/>
      <c r="AP118" s="782"/>
      <c r="AQ118" s="782"/>
      <c r="AR118" s="782"/>
      <c r="AS118" s="782"/>
      <c r="AU118" s="782"/>
      <c r="AZ118" s="782"/>
    </row>
    <row r="119" spans="1:52" ht="14.25" x14ac:dyDescent="0.25">
      <c r="A119" s="802">
        <v>10</v>
      </c>
      <c r="B119" s="834">
        <v>2027</v>
      </c>
      <c r="C119" s="836">
        <f>Emissions!E14</f>
        <v>9863.8234879764841</v>
      </c>
      <c r="D119" s="836">
        <f>Emissions!F14</f>
        <v>96981.027460541431</v>
      </c>
      <c r="E119" s="836">
        <f>Emissions!G14</f>
        <v>79282.246683189485</v>
      </c>
      <c r="F119" s="854">
        <f t="shared" si="20"/>
        <v>186127.09763170738</v>
      </c>
      <c r="G119" s="806">
        <f t="shared" si="21"/>
        <v>138496.04074514212</v>
      </c>
      <c r="H119" s="807">
        <f t="shared" si="22"/>
        <v>94617.578328167961</v>
      </c>
      <c r="I119" s="781"/>
      <c r="J119" s="781"/>
      <c r="K119" s="781"/>
      <c r="L119" s="781"/>
      <c r="AD119" s="782"/>
      <c r="AE119" s="783"/>
      <c r="AF119" s="828"/>
      <c r="AG119" s="828"/>
      <c r="AH119" s="829"/>
      <c r="AI119" s="829"/>
      <c r="AJ119" s="784"/>
      <c r="AK119" s="821"/>
      <c r="AL119" s="822"/>
      <c r="AM119" s="823"/>
      <c r="AN119" s="824"/>
      <c r="AO119" s="782"/>
      <c r="AP119" s="782"/>
      <c r="AQ119" s="782"/>
      <c r="AR119" s="782"/>
      <c r="AS119" s="782"/>
      <c r="AU119" s="782"/>
      <c r="AZ119" s="782"/>
    </row>
    <row r="120" spans="1:52" ht="14.25" x14ac:dyDescent="0.25">
      <c r="A120" s="802">
        <v>11</v>
      </c>
      <c r="B120" s="834">
        <v>2028</v>
      </c>
      <c r="C120" s="836">
        <f>Emissions!E15</f>
        <v>10279.969006318348</v>
      </c>
      <c r="D120" s="836">
        <f>Emissions!F15</f>
        <v>101063.94382285286</v>
      </c>
      <c r="E120" s="836">
        <f>Emissions!G15</f>
        <v>82612.249004466386</v>
      </c>
      <c r="F120" s="854">
        <f t="shared" si="20"/>
        <v>193956.1618336376</v>
      </c>
      <c r="G120" s="806">
        <f t="shared" si="21"/>
        <v>140118.05803605262</v>
      </c>
      <c r="H120" s="807">
        <f t="shared" si="22"/>
        <v>92147.175302146192</v>
      </c>
      <c r="I120" s="781"/>
      <c r="J120" s="781"/>
      <c r="K120" s="781"/>
      <c r="L120" s="781"/>
      <c r="AD120" s="782"/>
      <c r="AE120" s="783"/>
      <c r="AF120" s="828"/>
      <c r="AG120" s="828"/>
      <c r="AH120" s="829"/>
      <c r="AI120" s="829"/>
      <c r="AJ120" s="784"/>
      <c r="AK120" s="821"/>
      <c r="AL120" s="822"/>
      <c r="AM120" s="823"/>
      <c r="AN120" s="824"/>
      <c r="AO120" s="782"/>
      <c r="AP120" s="782"/>
      <c r="AQ120" s="782"/>
      <c r="AR120" s="782"/>
      <c r="AS120" s="782"/>
      <c r="AU120" s="782"/>
      <c r="AZ120" s="782"/>
    </row>
    <row r="121" spans="1:52" ht="14.25" x14ac:dyDescent="0.25">
      <c r="A121" s="802">
        <v>12</v>
      </c>
      <c r="B121" s="834">
        <v>2029</v>
      </c>
      <c r="C121" s="836">
        <f>Emissions!E16</f>
        <v>10696.114524660214</v>
      </c>
      <c r="D121" s="836">
        <f>Emissions!F16</f>
        <v>105146.86018516429</v>
      </c>
      <c r="E121" s="836">
        <f>Emissions!G16</f>
        <v>85942.251325743229</v>
      </c>
      <c r="F121" s="854">
        <f t="shared" si="20"/>
        <v>201785.22603556773</v>
      </c>
      <c r="G121" s="806">
        <f t="shared" si="21"/>
        <v>141528.09766153852</v>
      </c>
      <c r="H121" s="807">
        <f t="shared" si="22"/>
        <v>89595.053557887048</v>
      </c>
      <c r="I121" s="781"/>
      <c r="J121" s="781"/>
      <c r="K121" s="781"/>
      <c r="L121" s="781"/>
      <c r="AD121" s="782"/>
      <c r="AE121" s="783"/>
      <c r="AF121" s="828"/>
      <c r="AG121" s="828"/>
      <c r="AH121" s="829"/>
      <c r="AI121" s="829"/>
      <c r="AJ121" s="784"/>
      <c r="AK121" s="821"/>
      <c r="AL121" s="822"/>
      <c r="AM121" s="823"/>
      <c r="AN121" s="824"/>
      <c r="AO121" s="782"/>
      <c r="AP121" s="782"/>
      <c r="AQ121" s="782"/>
      <c r="AR121" s="782"/>
      <c r="AS121" s="782"/>
      <c r="AU121" s="782"/>
      <c r="AZ121" s="782"/>
    </row>
    <row r="122" spans="1:52" ht="14.25" x14ac:dyDescent="0.25">
      <c r="A122" s="802">
        <v>13</v>
      </c>
      <c r="B122" s="834">
        <v>2030</v>
      </c>
      <c r="C122" s="836">
        <f>Emissions!E17</f>
        <v>11112.260043002076</v>
      </c>
      <c r="D122" s="836">
        <f>Emissions!F17</f>
        <v>109229.77654747572</v>
      </c>
      <c r="E122" s="836">
        <f>Emissions!G17</f>
        <v>89272.253647020116</v>
      </c>
      <c r="F122" s="854">
        <f t="shared" si="20"/>
        <v>209614.29023749792</v>
      </c>
      <c r="G122" s="806">
        <f t="shared" si="21"/>
        <v>142737.1318189431</v>
      </c>
      <c r="H122" s="807">
        <f t="shared" si="22"/>
        <v>86982.478217951008</v>
      </c>
      <c r="I122" s="781"/>
      <c r="J122" s="781"/>
      <c r="K122" s="781"/>
      <c r="L122" s="781"/>
      <c r="AD122" s="782"/>
      <c r="AE122" s="783"/>
      <c r="AF122" s="828"/>
      <c r="AG122" s="828"/>
      <c r="AH122" s="829"/>
      <c r="AI122" s="829"/>
      <c r="AJ122" s="784"/>
      <c r="AK122" s="821"/>
      <c r="AL122" s="822"/>
      <c r="AM122" s="823"/>
      <c r="AN122" s="824"/>
      <c r="AO122" s="782"/>
      <c r="AP122" s="782"/>
      <c r="AQ122" s="782"/>
      <c r="AR122" s="782"/>
      <c r="AS122" s="782"/>
      <c r="AU122" s="782"/>
      <c r="AZ122" s="782"/>
    </row>
    <row r="123" spans="1:52" ht="14.25" x14ac:dyDescent="0.25">
      <c r="A123" s="802">
        <v>14</v>
      </c>
      <c r="B123" s="834">
        <v>2031</v>
      </c>
      <c r="C123" s="836">
        <f>Emissions!E18</f>
        <v>11528.405561343938</v>
      </c>
      <c r="D123" s="836">
        <f>Emissions!F18</f>
        <v>113312.69290978712</v>
      </c>
      <c r="E123" s="836">
        <f>Emissions!G18</f>
        <v>92602.255968296959</v>
      </c>
      <c r="F123" s="854">
        <f t="shared" si="20"/>
        <v>217443.35443942802</v>
      </c>
      <c r="G123" s="806">
        <f t="shared" si="21"/>
        <v>143755.67337683498</v>
      </c>
      <c r="H123" s="807">
        <f t="shared" si="22"/>
        <v>84328.281796251264</v>
      </c>
      <c r="I123" s="781"/>
      <c r="J123" s="781"/>
      <c r="K123" s="781"/>
      <c r="L123" s="781"/>
      <c r="AD123" s="782"/>
      <c r="AE123" s="783"/>
      <c r="AF123" s="828"/>
      <c r="AG123" s="828"/>
      <c r="AH123" s="829"/>
      <c r="AI123" s="829"/>
      <c r="AJ123" s="784"/>
      <c r="AK123" s="821"/>
      <c r="AL123" s="822"/>
      <c r="AM123" s="823"/>
      <c r="AN123" s="824"/>
      <c r="AO123" s="782"/>
      <c r="AP123" s="782"/>
      <c r="AQ123" s="782"/>
      <c r="AR123" s="782"/>
      <c r="AS123" s="782"/>
      <c r="AU123" s="782"/>
      <c r="AZ123" s="782"/>
    </row>
    <row r="124" spans="1:52" ht="14.25" x14ac:dyDescent="0.25">
      <c r="A124" s="802">
        <v>15</v>
      </c>
      <c r="B124" s="834">
        <v>2032</v>
      </c>
      <c r="C124" s="836">
        <f>Emissions!E19</f>
        <v>11944.5510796858</v>
      </c>
      <c r="D124" s="836">
        <f>Emissions!F19</f>
        <v>117395.60927209852</v>
      </c>
      <c r="E124" s="836">
        <f>Emissions!G19</f>
        <v>95932.258289573831</v>
      </c>
      <c r="F124" s="854">
        <f t="shared" si="20"/>
        <v>225272.41864135815</v>
      </c>
      <c r="G124" s="806">
        <f t="shared" si="21"/>
        <v>144593.7933239108</v>
      </c>
      <c r="H124" s="807">
        <f t="shared" si="22"/>
        <v>81649.091471767562</v>
      </c>
      <c r="I124" s="781"/>
      <c r="J124" s="781" t="s">
        <v>475</v>
      </c>
      <c r="K124" s="781"/>
      <c r="L124" s="781"/>
      <c r="AD124" s="782"/>
      <c r="AE124" s="783"/>
      <c r="AF124" s="828"/>
      <c r="AG124" s="828"/>
      <c r="AH124" s="829"/>
      <c r="AI124" s="829"/>
      <c r="AJ124" s="784"/>
      <c r="AK124" s="821"/>
      <c r="AL124" s="822"/>
      <c r="AM124" s="823"/>
      <c r="AN124" s="824"/>
      <c r="AO124" s="782"/>
      <c r="AP124" s="782"/>
      <c r="AQ124" s="782"/>
      <c r="AR124" s="782"/>
      <c r="AS124" s="782"/>
      <c r="AU124" s="782"/>
      <c r="AZ124" s="782"/>
    </row>
    <row r="125" spans="1:52" ht="14.25" x14ac:dyDescent="0.25">
      <c r="A125" s="802">
        <v>16</v>
      </c>
      <c r="B125" s="834">
        <v>2033</v>
      </c>
      <c r="C125" s="836">
        <f>Emissions!E20</f>
        <v>12360.696598027667</v>
      </c>
      <c r="D125" s="836">
        <f>Emissions!F20</f>
        <v>121478.52563440995</v>
      </c>
      <c r="E125" s="836">
        <f>Emissions!G20</f>
        <v>99262.260610850717</v>
      </c>
      <c r="F125" s="854">
        <f t="shared" si="20"/>
        <v>233101.48284328834</v>
      </c>
      <c r="G125" s="806">
        <f t="shared" si="21"/>
        <v>145261.13759112198</v>
      </c>
      <c r="H125" s="807">
        <f t="shared" si="22"/>
        <v>78959.53703671183</v>
      </c>
      <c r="I125" s="781"/>
      <c r="J125" s="781"/>
      <c r="K125" s="781"/>
      <c r="L125" s="781"/>
      <c r="AD125" s="782"/>
      <c r="AE125" s="783"/>
      <c r="AF125" s="828"/>
      <c r="AG125" s="828"/>
      <c r="AH125" s="829"/>
      <c r="AI125" s="829"/>
      <c r="AJ125" s="784"/>
      <c r="AK125" s="821"/>
      <c r="AL125" s="822"/>
      <c r="AM125" s="823"/>
      <c r="AN125" s="824"/>
      <c r="AO125" s="782"/>
      <c r="AP125" s="782"/>
      <c r="AQ125" s="782"/>
      <c r="AR125" s="782"/>
      <c r="AS125" s="782"/>
      <c r="AU125" s="782"/>
      <c r="AZ125" s="782"/>
    </row>
    <row r="126" spans="1:52" ht="14.25" x14ac:dyDescent="0.25">
      <c r="A126" s="802">
        <v>17</v>
      </c>
      <c r="B126" s="834">
        <v>2034</v>
      </c>
      <c r="C126" s="836">
        <f>Emissions!E21</f>
        <v>12776.842116369529</v>
      </c>
      <c r="D126" s="836">
        <f>Emissions!F21</f>
        <v>125561.44199672138</v>
      </c>
      <c r="E126" s="836">
        <f>Emissions!G21</f>
        <v>102592.26293212756</v>
      </c>
      <c r="F126" s="854">
        <f t="shared" si="20"/>
        <v>240930.54704521847</v>
      </c>
      <c r="G126" s="806">
        <f t="shared" si="21"/>
        <v>145766.94326873453</v>
      </c>
      <c r="H126" s="807">
        <f t="shared" si="22"/>
        <v>76272.441075024646</v>
      </c>
      <c r="I126" s="781"/>
      <c r="J126" s="781"/>
      <c r="K126" s="781"/>
      <c r="L126" s="781"/>
      <c r="AD126" s="782"/>
      <c r="AE126" s="783"/>
      <c r="AF126" s="828"/>
      <c r="AG126" s="828"/>
      <c r="AH126" s="829"/>
      <c r="AI126" s="829"/>
      <c r="AJ126" s="784"/>
      <c r="AK126" s="821"/>
      <c r="AL126" s="822"/>
      <c r="AM126" s="823"/>
      <c r="AN126" s="824"/>
      <c r="AO126" s="782"/>
      <c r="AP126" s="782"/>
      <c r="AQ126" s="782"/>
      <c r="AR126" s="782"/>
      <c r="AS126" s="782"/>
      <c r="AU126" s="782"/>
      <c r="AZ126" s="782"/>
    </row>
    <row r="127" spans="1:52" ht="14.25" x14ac:dyDescent="0.25">
      <c r="A127" s="802">
        <v>18</v>
      </c>
      <c r="B127" s="834">
        <v>2035</v>
      </c>
      <c r="C127" s="836">
        <f>Emissions!E22</f>
        <v>13192.987634711393</v>
      </c>
      <c r="D127" s="836">
        <f>Emissions!F22</f>
        <v>129644.35835903278</v>
      </c>
      <c r="E127" s="836">
        <f>Emissions!G22</f>
        <v>105922.26525340442</v>
      </c>
      <c r="F127" s="854">
        <f t="shared" si="20"/>
        <v>248759.6112471486</v>
      </c>
      <c r="G127" s="806">
        <f t="shared" si="21"/>
        <v>146120.0542392979</v>
      </c>
      <c r="H127" s="807">
        <f t="shared" si="22"/>
        <v>73598.992806219685</v>
      </c>
      <c r="I127" s="781"/>
      <c r="J127" s="781"/>
      <c r="K127" s="781"/>
      <c r="L127" s="781"/>
      <c r="AD127" s="782"/>
      <c r="AE127" s="783"/>
      <c r="AF127" s="828"/>
      <c r="AG127" s="828"/>
      <c r="AH127" s="829"/>
      <c r="AI127" s="829"/>
      <c r="AJ127" s="784"/>
      <c r="AK127" s="821"/>
      <c r="AL127" s="822"/>
      <c r="AM127" s="823"/>
      <c r="AN127" s="824"/>
      <c r="AO127" s="782"/>
      <c r="AP127" s="782"/>
      <c r="AQ127" s="782"/>
      <c r="AR127" s="782"/>
      <c r="AS127" s="782"/>
      <c r="AU127" s="782"/>
      <c r="AZ127" s="782"/>
    </row>
    <row r="128" spans="1:52" ht="14.25" x14ac:dyDescent="0.25">
      <c r="A128" s="802">
        <v>19</v>
      </c>
      <c r="B128" s="834">
        <v>2036</v>
      </c>
      <c r="C128" s="836">
        <f>Emissions!E23</f>
        <v>13609.133153053255</v>
      </c>
      <c r="D128" s="836">
        <f>Emissions!F23</f>
        <v>133727.27472134421</v>
      </c>
      <c r="E128" s="836">
        <f>Emissions!G23</f>
        <v>109252.26757468127</v>
      </c>
      <c r="F128" s="854">
        <f t="shared" si="20"/>
        <v>256588.67544907873</v>
      </c>
      <c r="G128" s="806">
        <f t="shared" si="21"/>
        <v>146328.93624678964</v>
      </c>
      <c r="H128" s="807">
        <f t="shared" si="22"/>
        <v>70948.906917884073</v>
      </c>
      <c r="I128" s="781"/>
      <c r="J128" s="781"/>
      <c r="K128" s="781"/>
      <c r="L128" s="781"/>
      <c r="AD128" s="782"/>
      <c r="AE128" s="783"/>
      <c r="AF128" s="828"/>
      <c r="AG128" s="828"/>
      <c r="AH128" s="829"/>
      <c r="AI128" s="829"/>
      <c r="AJ128" s="784"/>
      <c r="AK128" s="821"/>
      <c r="AL128" s="822"/>
      <c r="AM128" s="823"/>
      <c r="AN128" s="824"/>
      <c r="AO128" s="782"/>
      <c r="AP128" s="782"/>
      <c r="AQ128" s="782"/>
      <c r="AR128" s="782"/>
      <c r="AS128" s="782"/>
      <c r="AU128" s="782"/>
      <c r="AZ128" s="782"/>
    </row>
    <row r="129" spans="1:56" ht="14.25" x14ac:dyDescent="0.25">
      <c r="A129" s="802">
        <v>20</v>
      </c>
      <c r="B129" s="834">
        <v>2037</v>
      </c>
      <c r="C129" s="836">
        <f>Emissions!E24</f>
        <v>14025.278671395121</v>
      </c>
      <c r="D129" s="836">
        <f>Emissions!F24</f>
        <v>137810.19108365563</v>
      </c>
      <c r="E129" s="836">
        <f>Emissions!G24</f>
        <v>112582.26989595813</v>
      </c>
      <c r="F129" s="854">
        <f t="shared" si="20"/>
        <v>264417.73965100886</v>
      </c>
      <c r="G129" s="806">
        <f t="shared" si="21"/>
        <v>146401.69142151831</v>
      </c>
      <c r="H129" s="807">
        <f t="shared" si="22"/>
        <v>68330.568606910863</v>
      </c>
      <c r="I129" s="781"/>
      <c r="J129" s="781"/>
      <c r="K129" s="781"/>
      <c r="L129" s="781"/>
      <c r="AD129" s="782"/>
      <c r="AE129" s="783"/>
      <c r="AF129" s="828"/>
      <c r="AG129" s="828"/>
      <c r="AH129" s="829"/>
      <c r="AI129" s="829"/>
      <c r="AJ129" s="784"/>
      <c r="AK129" s="821"/>
      <c r="AL129" s="822"/>
      <c r="AM129" s="823"/>
      <c r="AN129" s="824"/>
      <c r="AO129" s="782"/>
      <c r="AP129" s="782"/>
      <c r="AQ129" s="782"/>
      <c r="AR129" s="782"/>
      <c r="AS129" s="782"/>
      <c r="AU129" s="782"/>
      <c r="AZ129" s="782"/>
    </row>
    <row r="130" spans="1:56" ht="14.25" x14ac:dyDescent="0.25">
      <c r="A130" s="802">
        <v>21</v>
      </c>
      <c r="B130" s="834">
        <v>2038</v>
      </c>
      <c r="C130" s="836">
        <f>Emissions!E25</f>
        <v>14441.424189736987</v>
      </c>
      <c r="D130" s="836">
        <f>Emissions!F25</f>
        <v>141893.10744596706</v>
      </c>
      <c r="E130" s="836">
        <f>Emissions!G25</f>
        <v>115912.27221723502</v>
      </c>
      <c r="F130" s="854">
        <f t="shared" si="20"/>
        <v>272246.80385293905</v>
      </c>
      <c r="G130" s="806">
        <f t="shared" si="21"/>
        <v>146346.07227970412</v>
      </c>
      <c r="H130" s="807">
        <f t="shared" si="22"/>
        <v>65751.165954148979</v>
      </c>
      <c r="I130" s="781"/>
      <c r="J130" s="781"/>
      <c r="K130" s="781"/>
      <c r="L130" s="781"/>
      <c r="AD130" s="782"/>
      <c r="AE130" s="783"/>
      <c r="AF130" s="828"/>
      <c r="AG130" s="828"/>
      <c r="AH130" s="829"/>
      <c r="AI130" s="829"/>
      <c r="AJ130" s="784"/>
      <c r="AK130" s="821"/>
      <c r="AL130" s="822"/>
      <c r="AM130" s="823"/>
      <c r="AN130" s="824"/>
      <c r="AO130" s="782"/>
      <c r="AP130" s="782"/>
      <c r="AQ130" s="782"/>
      <c r="AR130" s="782"/>
      <c r="AS130" s="782"/>
      <c r="AU130" s="782"/>
      <c r="AZ130" s="782"/>
    </row>
    <row r="131" spans="1:56" ht="14.25" x14ac:dyDescent="0.25">
      <c r="A131" s="802">
        <v>22</v>
      </c>
      <c r="B131" s="834">
        <v>2039</v>
      </c>
      <c r="C131" s="836">
        <f>Emissions!E26</f>
        <v>14857.56970807885</v>
      </c>
      <c r="D131" s="836">
        <f>Emissions!F26</f>
        <v>145976.02380827846</v>
      </c>
      <c r="E131" s="836">
        <f>Emissions!G26</f>
        <v>119242.27453851186</v>
      </c>
      <c r="F131" s="854">
        <f t="shared" si="20"/>
        <v>280075.86805486918</v>
      </c>
      <c r="G131" s="806">
        <f t="shared" si="21"/>
        <v>146169.49521601672</v>
      </c>
      <c r="H131" s="807">
        <f t="shared" si="22"/>
        <v>63216.810669026076</v>
      </c>
      <c r="I131" s="781"/>
      <c r="J131" s="781"/>
      <c r="K131" s="781"/>
      <c r="L131" s="781"/>
      <c r="AD131" s="782"/>
      <c r="AE131" s="783"/>
      <c r="AF131" s="828"/>
      <c r="AG131" s="828"/>
      <c r="AH131" s="829"/>
      <c r="AI131" s="829"/>
      <c r="AJ131" s="784"/>
      <c r="AK131" s="821"/>
      <c r="AL131" s="822"/>
      <c r="AM131" s="823"/>
      <c r="AN131" s="824"/>
      <c r="AO131" s="782"/>
      <c r="AP131" s="782"/>
      <c r="AQ131" s="782"/>
      <c r="AR131" s="782"/>
      <c r="AS131" s="782"/>
      <c r="AU131" s="782"/>
      <c r="AZ131" s="782"/>
    </row>
    <row r="132" spans="1:56" ht="14.25" x14ac:dyDescent="0.25">
      <c r="A132" s="802">
        <v>23</v>
      </c>
      <c r="B132" s="834">
        <v>2040</v>
      </c>
      <c r="C132" s="836">
        <f>Emissions!E27</f>
        <v>15273.715226420705</v>
      </c>
      <c r="D132" s="836">
        <f>Emissions!F27</f>
        <v>150058.94017058983</v>
      </c>
      <c r="E132" s="836">
        <f>Emissions!G27</f>
        <v>122572.27685978869</v>
      </c>
      <c r="F132" s="854">
        <f t="shared" si="20"/>
        <v>287904.93225679919</v>
      </c>
      <c r="G132" s="806">
        <f t="shared" si="21"/>
        <v>145879.05350673039</v>
      </c>
      <c r="H132" s="807">
        <f t="shared" si="22"/>
        <v>60732.648159286218</v>
      </c>
      <c r="I132" s="781"/>
      <c r="J132" s="781"/>
      <c r="K132" s="781"/>
      <c r="L132" s="781"/>
      <c r="AD132" s="782"/>
      <c r="AE132" s="783"/>
      <c r="AF132" s="828"/>
      <c r="AG132" s="828"/>
      <c r="AH132" s="829"/>
      <c r="AI132" s="829"/>
      <c r="AJ132" s="784"/>
      <c r="AK132" s="821"/>
      <c r="AL132" s="822"/>
      <c r="AM132" s="823"/>
      <c r="AN132" s="824"/>
      <c r="AO132" s="782"/>
      <c r="AP132" s="782"/>
      <c r="AQ132" s="782"/>
      <c r="AR132" s="782"/>
      <c r="AS132" s="782"/>
      <c r="AU132" s="782"/>
      <c r="AZ132" s="782"/>
    </row>
    <row r="133" spans="1:56" ht="14.25" x14ac:dyDescent="0.25">
      <c r="A133" s="802">
        <v>24</v>
      </c>
      <c r="B133" s="834">
        <v>2041</v>
      </c>
      <c r="C133" s="836">
        <f>Emissions!E28</f>
        <v>15273.715226420705</v>
      </c>
      <c r="D133" s="836">
        <f>Emissions!F28</f>
        <v>150058.94017058983</v>
      </c>
      <c r="E133" s="836">
        <f>Emissions!G28</f>
        <v>122572.27685978869</v>
      </c>
      <c r="F133" s="854">
        <f t="shared" si="20"/>
        <v>287904.93225679919</v>
      </c>
      <c r="G133" s="806">
        <f t="shared" ref="G133:G142" si="23">F133/(1+$E$4)^A133</f>
        <v>141630.14903566058</v>
      </c>
      <c r="H133" s="807">
        <f t="shared" ref="H133:H142" si="24">F133/(1+$F$4)^A133</f>
        <v>56759.484261015154</v>
      </c>
      <c r="I133" s="781"/>
      <c r="J133" s="781"/>
      <c r="K133" s="781"/>
      <c r="L133" s="781"/>
      <c r="AD133" s="782"/>
      <c r="AE133" s="783"/>
      <c r="AF133" s="828"/>
      <c r="AG133" s="828"/>
      <c r="AH133" s="829"/>
      <c r="AI133" s="829"/>
      <c r="AJ133" s="784"/>
      <c r="AK133" s="821"/>
      <c r="AL133" s="822"/>
      <c r="AM133" s="823"/>
      <c r="AN133" s="824"/>
      <c r="AO133" s="782"/>
      <c r="AP133" s="782"/>
      <c r="AQ133" s="782"/>
      <c r="AR133" s="782"/>
      <c r="AS133" s="782"/>
      <c r="AU133" s="782"/>
      <c r="AZ133" s="782"/>
    </row>
    <row r="134" spans="1:56" ht="14.25" x14ac:dyDescent="0.25">
      <c r="A134" s="802">
        <v>25</v>
      </c>
      <c r="B134" s="834">
        <v>2042</v>
      </c>
      <c r="C134" s="836">
        <f>Emissions!E29</f>
        <v>15273.715226420705</v>
      </c>
      <c r="D134" s="836">
        <f>Emissions!F29</f>
        <v>150058.94017058983</v>
      </c>
      <c r="E134" s="836">
        <f>Emissions!G29</f>
        <v>122572.27685978869</v>
      </c>
      <c r="F134" s="854">
        <f t="shared" si="20"/>
        <v>287904.93225679919</v>
      </c>
      <c r="G134" s="806">
        <f t="shared" si="23"/>
        <v>137504.99906374814</v>
      </c>
      <c r="H134" s="807">
        <f t="shared" si="24"/>
        <v>53046.246972911351</v>
      </c>
      <c r="I134" s="781"/>
      <c r="J134" s="781"/>
      <c r="K134" s="781"/>
      <c r="L134" s="781"/>
      <c r="AD134" s="782"/>
      <c r="AE134" s="783"/>
      <c r="AF134" s="828"/>
      <c r="AG134" s="828"/>
      <c r="AH134" s="829"/>
      <c r="AI134" s="829"/>
      <c r="AJ134" s="784"/>
      <c r="AK134" s="821"/>
      <c r="AL134" s="822"/>
      <c r="AM134" s="823"/>
      <c r="AN134" s="824"/>
      <c r="AO134" s="782"/>
      <c r="AP134" s="782"/>
      <c r="AQ134" s="782"/>
      <c r="AR134" s="782"/>
      <c r="AS134" s="782"/>
      <c r="AU134" s="782"/>
      <c r="AZ134" s="782"/>
    </row>
    <row r="135" spans="1:56" ht="14.25" x14ac:dyDescent="0.25">
      <c r="A135" s="802">
        <v>26</v>
      </c>
      <c r="B135" s="834">
        <v>2043</v>
      </c>
      <c r="C135" s="836">
        <f>Emissions!E30</f>
        <v>15273.715226420705</v>
      </c>
      <c r="D135" s="836">
        <f>Emissions!F30</f>
        <v>150058.94017058983</v>
      </c>
      <c r="E135" s="836">
        <f>Emissions!G30</f>
        <v>122572.27685978869</v>
      </c>
      <c r="F135" s="854">
        <f t="shared" si="20"/>
        <v>287904.93225679919</v>
      </c>
      <c r="G135" s="806">
        <f t="shared" si="23"/>
        <v>133499.99909101758</v>
      </c>
      <c r="H135" s="807">
        <f t="shared" si="24"/>
        <v>49575.93175038445</v>
      </c>
      <c r="I135" s="781"/>
      <c r="J135" s="781"/>
      <c r="K135" s="781"/>
      <c r="L135" s="781"/>
      <c r="AD135" s="782"/>
      <c r="AE135" s="783"/>
      <c r="AF135" s="828"/>
      <c r="AG135" s="828"/>
      <c r="AH135" s="829"/>
      <c r="AI135" s="829"/>
      <c r="AJ135" s="784"/>
      <c r="AK135" s="821"/>
      <c r="AL135" s="822"/>
      <c r="AM135" s="823"/>
      <c r="AN135" s="824"/>
      <c r="AO135" s="782"/>
      <c r="AP135" s="782"/>
      <c r="AQ135" s="782"/>
      <c r="AR135" s="782"/>
      <c r="AS135" s="782"/>
      <c r="AU135" s="782"/>
      <c r="AZ135" s="782"/>
    </row>
    <row r="136" spans="1:56" ht="14.25" x14ac:dyDescent="0.25">
      <c r="A136" s="802">
        <v>27</v>
      </c>
      <c r="B136" s="834">
        <v>2044</v>
      </c>
      <c r="C136" s="836">
        <f>Emissions!E31</f>
        <v>15273.715226420705</v>
      </c>
      <c r="D136" s="836">
        <f>Emissions!F31</f>
        <v>150058.94017058983</v>
      </c>
      <c r="E136" s="836">
        <f>Emissions!G31</f>
        <v>122572.27685978869</v>
      </c>
      <c r="F136" s="854">
        <f t="shared" si="20"/>
        <v>287904.93225679919</v>
      </c>
      <c r="G136" s="806">
        <f t="shared" si="23"/>
        <v>129611.64960292971</v>
      </c>
      <c r="H136" s="807">
        <f t="shared" si="24"/>
        <v>46332.646495686393</v>
      </c>
      <c r="I136" s="781"/>
      <c r="J136" s="781"/>
      <c r="K136" s="781"/>
      <c r="L136" s="781"/>
      <c r="AD136" s="782"/>
      <c r="AE136" s="783"/>
      <c r="AF136" s="828"/>
      <c r="AG136" s="828"/>
      <c r="AH136" s="829"/>
      <c r="AI136" s="829"/>
      <c r="AJ136" s="784"/>
      <c r="AK136" s="821"/>
      <c r="AL136" s="822"/>
      <c r="AM136" s="823"/>
      <c r="AN136" s="824"/>
      <c r="AO136" s="782"/>
      <c r="AP136" s="782"/>
      <c r="AQ136" s="782"/>
      <c r="AR136" s="782"/>
      <c r="AS136" s="782"/>
      <c r="AU136" s="782"/>
      <c r="AZ136" s="782"/>
    </row>
    <row r="137" spans="1:56" ht="14.25" x14ac:dyDescent="0.25">
      <c r="A137" s="802">
        <v>28</v>
      </c>
      <c r="B137" s="834">
        <v>2045</v>
      </c>
      <c r="C137" s="836">
        <f>Emissions!E32</f>
        <v>15273.715226420705</v>
      </c>
      <c r="D137" s="836">
        <f>Emissions!F32</f>
        <v>150058.94017058983</v>
      </c>
      <c r="E137" s="836">
        <f>Emissions!G32</f>
        <v>122572.27685978869</v>
      </c>
      <c r="F137" s="854">
        <f t="shared" si="20"/>
        <v>287904.93225679919</v>
      </c>
      <c r="G137" s="806">
        <f t="shared" si="23"/>
        <v>125836.55301255312</v>
      </c>
      <c r="H137" s="807">
        <f t="shared" si="24"/>
        <v>43301.538781015326</v>
      </c>
      <c r="I137" s="781"/>
      <c r="J137" s="781"/>
      <c r="K137" s="781"/>
      <c r="L137" s="781"/>
      <c r="AD137" s="782"/>
      <c r="AE137" s="783"/>
      <c r="AF137" s="828"/>
      <c r="AG137" s="828"/>
      <c r="AH137" s="829"/>
      <c r="AI137" s="829"/>
      <c r="AJ137" s="784"/>
      <c r="AK137" s="821"/>
      <c r="AL137" s="822"/>
      <c r="AM137" s="823"/>
      <c r="AN137" s="824"/>
      <c r="AO137" s="782"/>
      <c r="AP137" s="782"/>
      <c r="AQ137" s="782"/>
      <c r="AR137" s="782"/>
      <c r="AS137" s="782"/>
      <c r="AU137" s="782"/>
      <c r="AZ137" s="782"/>
    </row>
    <row r="138" spans="1:56" ht="14.25" x14ac:dyDescent="0.25">
      <c r="A138" s="802">
        <v>29</v>
      </c>
      <c r="B138" s="834">
        <v>2046</v>
      </c>
      <c r="C138" s="836">
        <f>Emissions!E33</f>
        <v>15273.715226420705</v>
      </c>
      <c r="D138" s="836">
        <f>Emissions!F33</f>
        <v>150058.94017058983</v>
      </c>
      <c r="E138" s="836">
        <f>Emissions!G33</f>
        <v>122572.27685978869</v>
      </c>
      <c r="F138" s="854">
        <f t="shared" si="20"/>
        <v>287904.93225679919</v>
      </c>
      <c r="G138" s="806">
        <f t="shared" si="23"/>
        <v>122171.41069179916</v>
      </c>
      <c r="H138" s="807">
        <f t="shared" si="24"/>
        <v>40468.727832724602</v>
      </c>
      <c r="I138" s="781"/>
      <c r="J138" s="781"/>
      <c r="K138" s="781"/>
      <c r="L138" s="781"/>
      <c r="AD138" s="782"/>
      <c r="AE138" s="783"/>
      <c r="AF138" s="828"/>
      <c r="AG138" s="828"/>
      <c r="AH138" s="829"/>
      <c r="AI138" s="829"/>
      <c r="AJ138" s="784"/>
      <c r="AK138" s="821"/>
      <c r="AL138" s="822"/>
      <c r="AM138" s="823"/>
      <c r="AN138" s="824"/>
      <c r="AO138" s="782"/>
      <c r="AP138" s="782"/>
      <c r="AQ138" s="782"/>
      <c r="AR138" s="782"/>
      <c r="AS138" s="782"/>
      <c r="AU138" s="782"/>
      <c r="AZ138" s="782"/>
    </row>
    <row r="139" spans="1:56" ht="14.25" x14ac:dyDescent="0.25">
      <c r="A139" s="802">
        <v>30</v>
      </c>
      <c r="B139" s="834">
        <v>2047</v>
      </c>
      <c r="C139" s="836">
        <f>Emissions!E34</f>
        <v>15273.715226420705</v>
      </c>
      <c r="D139" s="836">
        <f>Emissions!F34</f>
        <v>150058.94017058983</v>
      </c>
      <c r="E139" s="836">
        <f>Emissions!G34</f>
        <v>122572.27685978869</v>
      </c>
      <c r="F139" s="854">
        <f t="shared" si="20"/>
        <v>287904.93225679919</v>
      </c>
      <c r="G139" s="806">
        <f t="shared" si="23"/>
        <v>118613.02008912539</v>
      </c>
      <c r="H139" s="807">
        <f t="shared" si="24"/>
        <v>37821.240965163182</v>
      </c>
      <c r="I139" s="781"/>
      <c r="J139" s="781"/>
      <c r="K139" s="781"/>
      <c r="L139" s="781"/>
      <c r="AD139" s="782"/>
      <c r="AE139" s="783"/>
      <c r="AF139" s="828"/>
      <c r="AG139" s="828"/>
      <c r="AH139" s="829"/>
      <c r="AI139" s="829"/>
      <c r="AJ139" s="784"/>
      <c r="AK139" s="821"/>
      <c r="AL139" s="822"/>
      <c r="AM139" s="823"/>
      <c r="AN139" s="824"/>
      <c r="AO139" s="782"/>
      <c r="AP139" s="782"/>
      <c r="AQ139" s="782"/>
      <c r="AR139" s="782"/>
      <c r="AS139" s="782"/>
      <c r="AU139" s="782"/>
      <c r="AZ139" s="782"/>
    </row>
    <row r="140" spans="1:56" ht="14.25" x14ac:dyDescent="0.25">
      <c r="A140" s="802">
        <v>31</v>
      </c>
      <c r="B140" s="834">
        <v>2048</v>
      </c>
      <c r="C140" s="836">
        <f>Emissions!E35</f>
        <v>15273.715226420705</v>
      </c>
      <c r="D140" s="836">
        <f>Emissions!F35</f>
        <v>150058.94017058983</v>
      </c>
      <c r="E140" s="836">
        <f>Emissions!G35</f>
        <v>122572.27685978869</v>
      </c>
      <c r="F140" s="854">
        <f t="shared" si="20"/>
        <v>287904.93225679919</v>
      </c>
      <c r="G140" s="806">
        <f t="shared" si="23"/>
        <v>115158.27193118969</v>
      </c>
      <c r="H140" s="807">
        <f t="shared" si="24"/>
        <v>35346.954173049693</v>
      </c>
      <c r="I140" s="781"/>
      <c r="J140" s="781"/>
      <c r="K140" s="781"/>
      <c r="L140" s="781"/>
      <c r="AD140" s="782"/>
      <c r="AE140" s="783"/>
      <c r="AF140" s="828"/>
      <c r="AG140" s="828"/>
      <c r="AH140" s="829"/>
      <c r="AI140" s="829"/>
      <c r="AJ140" s="784"/>
      <c r="AK140" s="821"/>
      <c r="AL140" s="822"/>
      <c r="AM140" s="823"/>
      <c r="AN140" s="824"/>
      <c r="AO140" s="782"/>
      <c r="AP140" s="782"/>
      <c r="AQ140" s="782"/>
      <c r="AR140" s="782"/>
      <c r="AS140" s="782"/>
      <c r="AU140" s="782"/>
      <c r="AZ140" s="782"/>
    </row>
    <row r="141" spans="1:56" ht="14.25" x14ac:dyDescent="0.25">
      <c r="A141" s="802">
        <v>32</v>
      </c>
      <c r="B141" s="834">
        <v>2049</v>
      </c>
      <c r="C141" s="836">
        <f>Emissions!E36</f>
        <v>15273.715226420705</v>
      </c>
      <c r="D141" s="836">
        <f>Emissions!F36</f>
        <v>150058.94017058983</v>
      </c>
      <c r="E141" s="836">
        <f>Emissions!G36</f>
        <v>122572.27685978869</v>
      </c>
      <c r="F141" s="854">
        <f t="shared" si="20"/>
        <v>287904.93225679919</v>
      </c>
      <c r="G141" s="806">
        <f t="shared" si="23"/>
        <v>111804.14750600942</v>
      </c>
      <c r="H141" s="807">
        <f t="shared" si="24"/>
        <v>33034.536610326824</v>
      </c>
      <c r="I141" s="781"/>
      <c r="J141" s="781"/>
      <c r="K141" s="781"/>
      <c r="L141" s="781"/>
      <c r="AD141" s="782"/>
      <c r="AE141" s="783"/>
      <c r="AF141" s="828"/>
      <c r="AG141" s="828"/>
      <c r="AH141" s="829"/>
      <c r="AI141" s="829"/>
      <c r="AJ141" s="784"/>
      <c r="AK141" s="821"/>
      <c r="AL141" s="822"/>
      <c r="AM141" s="823"/>
      <c r="AN141" s="824"/>
      <c r="AO141" s="782"/>
      <c r="AP141" s="782"/>
      <c r="AQ141" s="782"/>
      <c r="AR141" s="782"/>
      <c r="AS141" s="782"/>
      <c r="AU141" s="782"/>
      <c r="AZ141" s="782"/>
    </row>
    <row r="142" spans="1:56" ht="14.25" x14ac:dyDescent="0.25">
      <c r="A142" s="802">
        <v>33</v>
      </c>
      <c r="B142" s="834">
        <v>2050</v>
      </c>
      <c r="C142" s="836">
        <f>Emissions!E37</f>
        <v>15273.715226420705</v>
      </c>
      <c r="D142" s="836">
        <f>Emissions!F37</f>
        <v>150058.94017058983</v>
      </c>
      <c r="E142" s="836">
        <f>Emissions!G37</f>
        <v>122572.27685978869</v>
      </c>
      <c r="F142" s="854">
        <f t="shared" si="20"/>
        <v>287904.93225679919</v>
      </c>
      <c r="G142" s="806">
        <f t="shared" si="23"/>
        <v>108547.71602525187</v>
      </c>
      <c r="H142" s="807">
        <f t="shared" si="24"/>
        <v>30873.398701240021</v>
      </c>
      <c r="I142" s="781"/>
      <c r="J142" s="781"/>
      <c r="K142" s="781"/>
      <c r="L142" s="781"/>
      <c r="AD142" s="782"/>
      <c r="AE142" s="783"/>
      <c r="AF142" s="828"/>
      <c r="AG142" s="828"/>
      <c r="AH142" s="829"/>
      <c r="AI142" s="829"/>
      <c r="AJ142" s="784"/>
      <c r="AK142" s="821"/>
      <c r="AL142" s="822"/>
      <c r="AM142" s="823"/>
      <c r="AN142" s="824"/>
      <c r="AO142" s="782"/>
      <c r="AP142" s="782"/>
      <c r="AQ142" s="782"/>
      <c r="AR142" s="782"/>
      <c r="AS142" s="782"/>
      <c r="AU142" s="782"/>
      <c r="AZ142" s="782"/>
    </row>
    <row r="143" spans="1:56" ht="15" thickBot="1" x14ac:dyDescent="0.3">
      <c r="A143" s="837" t="s">
        <v>387</v>
      </c>
      <c r="B143" s="838"/>
      <c r="C143" s="839">
        <f>SUM(C114:C142)</f>
        <v>371776.85792974202</v>
      </c>
      <c r="D143" s="839">
        <f>SUM(D114:D142)</f>
        <v>3653530.5669918535</v>
      </c>
      <c r="E143" s="855">
        <f>SUM(E114:E142)</f>
        <v>2985165.6319955289</v>
      </c>
      <c r="F143" s="839">
        <f t="shared" ref="F143:H143" si="25">SUM(F114:F142)</f>
        <v>7010473.0569171244</v>
      </c>
      <c r="G143" s="840">
        <f>SUM(G114:G142)</f>
        <v>3923781.0092134927</v>
      </c>
      <c r="H143" s="840">
        <f>SUM(H114:H142)</f>
        <v>2019125.1793862428</v>
      </c>
      <c r="I143" s="781" t="s">
        <v>475</v>
      </c>
      <c r="J143" s="781" t="s">
        <v>475</v>
      </c>
      <c r="K143" s="781"/>
      <c r="L143" s="781"/>
      <c r="AD143" s="782"/>
      <c r="AE143" s="783"/>
      <c r="AF143" s="828"/>
      <c r="AG143" s="828"/>
      <c r="AH143" s="829"/>
      <c r="AI143" s="829"/>
      <c r="AJ143" s="784"/>
      <c r="AK143" s="821"/>
      <c r="AL143" s="822"/>
      <c r="AM143" s="823"/>
      <c r="AN143" s="824"/>
      <c r="AO143" s="782"/>
      <c r="AP143" s="782"/>
      <c r="AQ143" s="782"/>
      <c r="AR143" s="782"/>
      <c r="AS143" s="782"/>
      <c r="AU143" s="782"/>
      <c r="AZ143" s="782"/>
    </row>
    <row r="144" spans="1:56" ht="14.25" x14ac:dyDescent="0.25">
      <c r="AV144" s="828"/>
      <c r="AW144" s="828"/>
      <c r="AX144" s="829"/>
      <c r="AY144" s="829"/>
      <c r="BA144" s="821"/>
      <c r="BB144" s="822"/>
      <c r="BC144" s="823"/>
      <c r="BD144" s="824"/>
    </row>
    <row r="145" spans="1:56" ht="15" thickBot="1" x14ac:dyDescent="0.3">
      <c r="A145" s="1170" t="s">
        <v>714</v>
      </c>
      <c r="B145" s="1170"/>
      <c r="C145" s="1170"/>
      <c r="D145" s="1170"/>
      <c r="E145" s="1170"/>
      <c r="BA145" s="856"/>
      <c r="BB145" s="857"/>
      <c r="BC145" s="857"/>
      <c r="BD145" s="857"/>
    </row>
    <row r="146" spans="1:56" ht="14.25" x14ac:dyDescent="0.25">
      <c r="A146" s="785" t="s">
        <v>208</v>
      </c>
      <c r="B146" s="786" t="s">
        <v>206</v>
      </c>
      <c r="C146" s="787" t="s">
        <v>204</v>
      </c>
      <c r="D146" s="787" t="s">
        <v>309</v>
      </c>
      <c r="E146" s="844" t="s">
        <v>310</v>
      </c>
      <c r="BA146" s="856"/>
      <c r="BB146" s="857"/>
      <c r="BC146" s="857"/>
      <c r="BD146" s="857"/>
    </row>
    <row r="147" spans="1:56" ht="42.75" x14ac:dyDescent="0.25">
      <c r="A147" s="1165" t="s">
        <v>7</v>
      </c>
      <c r="B147" s="1178" t="s">
        <v>316</v>
      </c>
      <c r="C147" s="891" t="s">
        <v>682</v>
      </c>
      <c r="D147" s="1187" t="s">
        <v>831</v>
      </c>
      <c r="E147" s="1188"/>
      <c r="BA147" s="856"/>
      <c r="BB147" s="857"/>
      <c r="BC147" s="857"/>
      <c r="BD147" s="857"/>
    </row>
    <row r="148" spans="1:56" ht="14.25" x14ac:dyDescent="0.25">
      <c r="A148" s="1166"/>
      <c r="B148" s="1179"/>
      <c r="C148" s="793" t="s">
        <v>386</v>
      </c>
      <c r="D148" s="832">
        <f>3/100</f>
        <v>0.03</v>
      </c>
      <c r="E148" s="795">
        <f>7/100</f>
        <v>7.0000000000000007E-2</v>
      </c>
      <c r="BA148" s="856"/>
      <c r="BB148" s="857"/>
      <c r="BC148" s="857"/>
      <c r="BD148" s="857"/>
    </row>
    <row r="149" spans="1:56" ht="29.25" thickBot="1" x14ac:dyDescent="0.3">
      <c r="A149" s="1166"/>
      <c r="B149" s="1179"/>
      <c r="C149" s="1391" t="s">
        <v>5</v>
      </c>
      <c r="D149" s="1392" t="s">
        <v>422</v>
      </c>
      <c r="E149" s="1393" t="s">
        <v>423</v>
      </c>
      <c r="BA149" s="856"/>
      <c r="BB149" s="857"/>
      <c r="BC149" s="857"/>
      <c r="BD149" s="857"/>
    </row>
    <row r="150" spans="1:56" ht="14.25" x14ac:dyDescent="0.25">
      <c r="A150" s="1394">
        <v>5</v>
      </c>
      <c r="B150" s="1395">
        <v>2022</v>
      </c>
      <c r="C150" s="1396">
        <f>HealthBenefits!F14</f>
        <v>379393.90209576534</v>
      </c>
      <c r="D150" s="1397">
        <f t="shared" ref="D150:D152" si="26">C150/(1+$E$4)^A150</f>
        <v>327268.51268959272</v>
      </c>
      <c r="E150" s="1398">
        <f t="shared" ref="E150:E152" si="27">C150/(1+$F$4)^A150</f>
        <v>270502.60877466062</v>
      </c>
      <c r="F150" s="782" t="s">
        <v>475</v>
      </c>
      <c r="BA150" s="856"/>
      <c r="BB150" s="857"/>
      <c r="BC150" s="857"/>
      <c r="BD150" s="857"/>
    </row>
    <row r="151" spans="1:56" ht="14.25" x14ac:dyDescent="0.25">
      <c r="A151" s="802">
        <v>6</v>
      </c>
      <c r="B151" s="803">
        <v>2023</v>
      </c>
      <c r="C151" s="836">
        <f>HealthBenefits!F15</f>
        <v>390358.89043452346</v>
      </c>
      <c r="D151" s="841">
        <f t="shared" si="26"/>
        <v>326919.425195413</v>
      </c>
      <c r="E151" s="807">
        <f t="shared" si="27"/>
        <v>260112.61113868671</v>
      </c>
      <c r="BA151" s="856"/>
      <c r="BB151" s="857"/>
      <c r="BC151" s="857"/>
      <c r="BD151" s="857"/>
    </row>
    <row r="152" spans="1:56" ht="14.25" x14ac:dyDescent="0.25">
      <c r="A152" s="802">
        <v>7</v>
      </c>
      <c r="B152" s="803">
        <v>2024</v>
      </c>
      <c r="C152" s="836">
        <f>HealthBenefits!F16</f>
        <v>401323.87877328147</v>
      </c>
      <c r="D152" s="841">
        <f t="shared" si="26"/>
        <v>326313.03912994434</v>
      </c>
      <c r="E152" s="807">
        <f t="shared" si="27"/>
        <v>249924.34191818396</v>
      </c>
      <c r="BA152" s="856"/>
      <c r="BB152" s="857"/>
      <c r="BC152" s="857"/>
      <c r="BD152" s="857"/>
    </row>
    <row r="153" spans="1:56" ht="14.25" x14ac:dyDescent="0.25">
      <c r="A153" s="802">
        <v>8</v>
      </c>
      <c r="B153" s="803">
        <v>2025</v>
      </c>
      <c r="C153" s="836">
        <f>HealthBenefits!F17</f>
        <v>412288.86711203965</v>
      </c>
      <c r="D153" s="841">
        <f t="shared" ref="D153:D168" si="28">C153/(1+$E$4)^A153</f>
        <v>325464.63890307525</v>
      </c>
      <c r="E153" s="807">
        <f t="shared" ref="E153:E168" si="29">C153/(1+$F$4)^A153</f>
        <v>239955.87437001232</v>
      </c>
      <c r="BA153" s="856"/>
      <c r="BB153" s="857"/>
      <c r="BC153" s="857"/>
      <c r="BD153" s="857"/>
    </row>
    <row r="154" spans="1:56" ht="14.25" x14ac:dyDescent="0.25">
      <c r="A154" s="802">
        <v>9</v>
      </c>
      <c r="B154" s="803">
        <v>2026</v>
      </c>
      <c r="C154" s="836">
        <f>HealthBenefits!F18</f>
        <v>423253.85545079777</v>
      </c>
      <c r="D154" s="841">
        <f t="shared" si="28"/>
        <v>324388.83684644225</v>
      </c>
      <c r="E154" s="807">
        <f t="shared" si="29"/>
        <v>230222.05365852243</v>
      </c>
      <c r="BA154" s="856"/>
      <c r="BB154" s="857"/>
      <c r="BC154" s="857"/>
      <c r="BD154" s="857"/>
    </row>
    <row r="155" spans="1:56" ht="14.25" x14ac:dyDescent="0.25">
      <c r="A155" s="802">
        <v>10</v>
      </c>
      <c r="B155" s="803">
        <v>2027</v>
      </c>
      <c r="C155" s="836">
        <f>HealthBenefits!F19</f>
        <v>434218.84378955583</v>
      </c>
      <c r="D155" s="841">
        <f t="shared" si="28"/>
        <v>323099.59939730016</v>
      </c>
      <c r="E155" s="807">
        <f t="shared" si="29"/>
        <v>220734.8418719763</v>
      </c>
      <c r="BA155" s="856"/>
      <c r="BB155" s="857"/>
      <c r="BC155" s="857"/>
      <c r="BD155" s="857"/>
    </row>
    <row r="156" spans="1:56" ht="14.25" x14ac:dyDescent="0.25">
      <c r="A156" s="802">
        <v>11</v>
      </c>
      <c r="B156" s="803">
        <v>2028</v>
      </c>
      <c r="C156" s="836">
        <f>HealthBenefits!F20</f>
        <v>445183.83212831395</v>
      </c>
      <c r="D156" s="841">
        <f t="shared" si="28"/>
        <v>321610.27232726564</v>
      </c>
      <c r="E156" s="807">
        <f t="shared" si="29"/>
        <v>211503.63171238263</v>
      </c>
      <c r="BA156" s="856"/>
      <c r="BB156" s="857"/>
      <c r="BC156" s="857"/>
      <c r="BD156" s="857"/>
    </row>
    <row r="157" spans="1:56" ht="14.25" x14ac:dyDescent="0.25">
      <c r="A157" s="802">
        <v>12</v>
      </c>
      <c r="B157" s="803">
        <v>2029</v>
      </c>
      <c r="C157" s="836">
        <f>HealthBenefits!F21</f>
        <v>456148.82046707202</v>
      </c>
      <c r="D157" s="841">
        <f t="shared" si="28"/>
        <v>319933.60504936101</v>
      </c>
      <c r="E157" s="807">
        <f t="shared" si="29"/>
        <v>202535.53148093505</v>
      </c>
      <c r="BA157" s="856"/>
      <c r="BB157" s="857"/>
      <c r="BC157" s="857"/>
      <c r="BD157" s="857"/>
    </row>
    <row r="158" spans="1:56" ht="14.25" x14ac:dyDescent="0.25">
      <c r="A158" s="802">
        <v>13</v>
      </c>
      <c r="B158" s="803">
        <v>2030</v>
      </c>
      <c r="C158" s="836">
        <f>HealthBenefits!F22</f>
        <v>467113.80880583014</v>
      </c>
      <c r="D158" s="841">
        <f t="shared" si="28"/>
        <v>318081.77403564716</v>
      </c>
      <c r="E158" s="807">
        <f t="shared" si="29"/>
        <v>193835.62377222322</v>
      </c>
      <c r="BA158" s="856"/>
      <c r="BB158" s="857"/>
      <c r="BC158" s="857"/>
      <c r="BD158" s="857"/>
    </row>
    <row r="159" spans="1:56" ht="14.25" x14ac:dyDescent="0.25">
      <c r="A159" s="802">
        <v>14</v>
      </c>
      <c r="B159" s="803">
        <v>2031</v>
      </c>
      <c r="C159" s="836">
        <f>HealthBenefits!F23</f>
        <v>478078.7971445882</v>
      </c>
      <c r="D159" s="841">
        <f t="shared" si="28"/>
        <v>316066.40537663491</v>
      </c>
      <c r="E159" s="807">
        <f t="shared" si="29"/>
        <v>185407.20009749554</v>
      </c>
      <c r="BA159" s="856"/>
      <c r="BB159" s="857"/>
      <c r="BC159" s="857"/>
      <c r="BD159" s="857"/>
    </row>
    <row r="160" spans="1:56" ht="14.25" x14ac:dyDescent="0.25">
      <c r="A160" s="802">
        <v>15</v>
      </c>
      <c r="B160" s="803">
        <v>2032</v>
      </c>
      <c r="C160" s="836">
        <f>HealthBenefits!F24</f>
        <v>489043.78548334632</v>
      </c>
      <c r="D160" s="841">
        <f t="shared" si="28"/>
        <v>313898.59651260334</v>
      </c>
      <c r="E160" s="807">
        <f t="shared" si="29"/>
        <v>177251.97347927088</v>
      </c>
      <c r="BA160" s="856"/>
      <c r="BB160" s="857"/>
      <c r="BC160" s="857"/>
      <c r="BD160" s="857"/>
    </row>
    <row r="161" spans="1:56" ht="14.25" x14ac:dyDescent="0.25">
      <c r="A161" s="802">
        <v>16</v>
      </c>
      <c r="B161" s="803">
        <v>2033</v>
      </c>
      <c r="C161" s="836">
        <f>HealthBenefits!F25</f>
        <v>500008.7738221045</v>
      </c>
      <c r="D161" s="841">
        <f t="shared" si="28"/>
        <v>311588.9371659233</v>
      </c>
      <c r="E161" s="807">
        <f t="shared" si="29"/>
        <v>169370.27089540064</v>
      </c>
      <c r="BA161" s="856"/>
      <c r="BB161" s="857"/>
      <c r="BC161" s="857"/>
      <c r="BD161" s="857"/>
    </row>
    <row r="162" spans="1:56" ht="14.25" x14ac:dyDescent="0.25">
      <c r="A162" s="802">
        <v>17</v>
      </c>
      <c r="B162" s="803">
        <v>2034</v>
      </c>
      <c r="C162" s="836">
        <f>HealthBenefits!F26</f>
        <v>510973.7621608625</v>
      </c>
      <c r="D162" s="841">
        <f t="shared" si="28"/>
        <v>309147.52950249647</v>
      </c>
      <c r="E162" s="807">
        <f t="shared" si="29"/>
        <v>161761.20729922823</v>
      </c>
      <c r="BA162" s="856"/>
      <c r="BB162" s="857"/>
      <c r="BC162" s="857"/>
      <c r="BD162" s="857"/>
    </row>
    <row r="163" spans="1:56" ht="14.25" x14ac:dyDescent="0.25">
      <c r="A163" s="802">
        <v>18</v>
      </c>
      <c r="B163" s="803">
        <v>2035</v>
      </c>
      <c r="C163" s="836">
        <f>HealthBenefits!F27</f>
        <v>521938.75049962063</v>
      </c>
      <c r="D163" s="841">
        <f t="shared" si="28"/>
        <v>306584.00754945754</v>
      </c>
      <c r="E163" s="807">
        <f t="shared" si="29"/>
        <v>154422.8428028193</v>
      </c>
      <c r="BA163" s="856"/>
      <c r="BB163" s="857"/>
      <c r="BC163" s="857"/>
      <c r="BD163" s="857"/>
    </row>
    <row r="164" spans="1:56" ht="14.25" x14ac:dyDescent="0.25">
      <c r="A164" s="802">
        <v>19</v>
      </c>
      <c r="B164" s="803">
        <v>2036</v>
      </c>
      <c r="C164" s="836">
        <f>HealthBenefits!F28</f>
        <v>532903.73883837869</v>
      </c>
      <c r="D164" s="841">
        <f t="shared" si="28"/>
        <v>303907.55589535873</v>
      </c>
      <c r="E164" s="807">
        <f t="shared" si="29"/>
        <v>147352.32448144385</v>
      </c>
      <c r="BA164" s="856"/>
      <c r="BB164" s="857"/>
      <c r="BC164" s="857"/>
      <c r="BD164" s="857"/>
    </row>
    <row r="165" spans="1:56" ht="14.25" x14ac:dyDescent="0.25">
      <c r="A165" s="802">
        <v>20</v>
      </c>
      <c r="B165" s="803">
        <v>2037</v>
      </c>
      <c r="C165" s="836">
        <f>HealthBenefits!F29</f>
        <v>543868.72717713681</v>
      </c>
      <c r="D165" s="841">
        <f t="shared" si="28"/>
        <v>301126.92769816326</v>
      </c>
      <c r="E165" s="807">
        <f t="shared" si="29"/>
        <v>140546.01413876371</v>
      </c>
      <c r="BA165" s="856"/>
      <c r="BB165" s="857"/>
      <c r="BC165" s="857"/>
      <c r="BD165" s="857"/>
    </row>
    <row r="166" spans="1:56" ht="14.25" x14ac:dyDescent="0.25">
      <c r="A166" s="802">
        <v>21</v>
      </c>
      <c r="B166" s="803">
        <v>2038</v>
      </c>
      <c r="C166" s="836">
        <f>HealthBenefits!F30</f>
        <v>554833.71551589493</v>
      </c>
      <c r="D166" s="841">
        <f t="shared" si="28"/>
        <v>298250.46202550444</v>
      </c>
      <c r="E166" s="807">
        <f t="shared" si="29"/>
        <v>133999.60326273952</v>
      </c>
      <c r="BA166" s="856"/>
      <c r="BB166" s="857"/>
      <c r="BC166" s="857"/>
      <c r="BD166" s="857"/>
    </row>
    <row r="167" spans="1:56" ht="14.25" x14ac:dyDescent="0.25">
      <c r="A167" s="802">
        <v>22</v>
      </c>
      <c r="B167" s="803">
        <v>2039</v>
      </c>
      <c r="C167" s="836">
        <f>HealthBenefits!F31</f>
        <v>565798.70385465305</v>
      </c>
      <c r="D167" s="841">
        <f t="shared" si="28"/>
        <v>295286.10055083025</v>
      </c>
      <c r="E167" s="807">
        <f t="shared" si="29"/>
        <v>127708.2163014227</v>
      </c>
      <c r="BA167" s="856"/>
      <c r="BB167" s="857"/>
      <c r="BC167" s="857"/>
      <c r="BD167" s="857"/>
    </row>
    <row r="168" spans="1:56" ht="14.25" x14ac:dyDescent="0.25">
      <c r="A168" s="802">
        <v>23</v>
      </c>
      <c r="B168" s="803">
        <v>2040</v>
      </c>
      <c r="C168" s="836">
        <f>HealthBenefits!F32</f>
        <v>576763.69219341106</v>
      </c>
      <c r="D168" s="841">
        <f t="shared" si="28"/>
        <v>292241.40362824569</v>
      </c>
      <c r="E168" s="807">
        <f t="shared" si="29"/>
        <v>121666.50329487732</v>
      </c>
      <c r="BA168" s="856"/>
      <c r="BB168" s="857"/>
      <c r="BC168" s="857"/>
      <c r="BD168" s="857"/>
    </row>
    <row r="169" spans="1:56" ht="14.25" x14ac:dyDescent="0.25">
      <c r="A169" s="802">
        <v>24</v>
      </c>
      <c r="B169" s="803">
        <v>2041</v>
      </c>
      <c r="C169" s="836">
        <f>HealthBenefits!F33</f>
        <v>576763.69219341106</v>
      </c>
      <c r="D169" s="841">
        <f t="shared" ref="D169:D178" si="30">C169/(1+$E$4)^A169</f>
        <v>283729.51808567543</v>
      </c>
      <c r="E169" s="807">
        <f t="shared" ref="E169:E178" si="31">C169/(1+$F$4)^A169</f>
        <v>113707.01242511897</v>
      </c>
      <c r="BA169" s="856"/>
      <c r="BB169" s="857"/>
      <c r="BC169" s="857"/>
      <c r="BD169" s="857"/>
    </row>
    <row r="170" spans="1:56" ht="14.25" x14ac:dyDescent="0.25">
      <c r="A170" s="802">
        <v>25</v>
      </c>
      <c r="B170" s="803">
        <v>2042</v>
      </c>
      <c r="C170" s="836">
        <f>HealthBenefits!F34</f>
        <v>576763.69219341106</v>
      </c>
      <c r="D170" s="841">
        <f t="shared" si="30"/>
        <v>275465.55153949076</v>
      </c>
      <c r="E170" s="807">
        <f t="shared" si="31"/>
        <v>106268.23591132613</v>
      </c>
      <c r="BA170" s="856"/>
      <c r="BB170" s="857"/>
      <c r="BC170" s="857"/>
      <c r="BD170" s="857"/>
    </row>
    <row r="171" spans="1:56" ht="14.25" x14ac:dyDescent="0.25">
      <c r="A171" s="802">
        <v>26</v>
      </c>
      <c r="B171" s="803">
        <v>2043</v>
      </c>
      <c r="C171" s="836">
        <f>HealthBenefits!F35</f>
        <v>576763.69219341106</v>
      </c>
      <c r="D171" s="841">
        <f t="shared" si="30"/>
        <v>267442.2830480492</v>
      </c>
      <c r="E171" s="807">
        <f t="shared" si="31"/>
        <v>99316.10832834219</v>
      </c>
      <c r="BA171" s="856"/>
      <c r="BB171" s="857"/>
      <c r="BC171" s="857"/>
      <c r="BD171" s="857"/>
    </row>
    <row r="172" spans="1:56" ht="14.25" x14ac:dyDescent="0.25">
      <c r="A172" s="802">
        <v>27</v>
      </c>
      <c r="B172" s="803">
        <v>2044</v>
      </c>
      <c r="C172" s="836">
        <f>HealthBenefits!F36</f>
        <v>576763.69219341106</v>
      </c>
      <c r="D172" s="841">
        <f t="shared" si="30"/>
        <v>259652.70198839734</v>
      </c>
      <c r="E172" s="807">
        <f t="shared" si="31"/>
        <v>92818.792830226332</v>
      </c>
      <c r="BA172" s="856"/>
      <c r="BB172" s="857"/>
      <c r="BC172" s="857"/>
      <c r="BD172" s="857"/>
    </row>
    <row r="173" spans="1:56" ht="14.25" x14ac:dyDescent="0.25">
      <c r="A173" s="802">
        <v>28</v>
      </c>
      <c r="B173" s="803">
        <v>2045</v>
      </c>
      <c r="C173" s="836">
        <f>HealthBenefits!F37</f>
        <v>576763.69219341106</v>
      </c>
      <c r="D173" s="841">
        <f t="shared" si="30"/>
        <v>252090.00193048286</v>
      </c>
      <c r="E173" s="807">
        <f t="shared" si="31"/>
        <v>86746.535355351734</v>
      </c>
      <c r="BA173" s="856"/>
      <c r="BB173" s="857"/>
      <c r="BC173" s="857"/>
      <c r="BD173" s="857"/>
    </row>
    <row r="174" spans="1:56" ht="14.25" x14ac:dyDescent="0.25">
      <c r="A174" s="802">
        <v>29</v>
      </c>
      <c r="B174" s="803">
        <v>2046</v>
      </c>
      <c r="C174" s="836">
        <f>HealthBenefits!F38</f>
        <v>576763.69219341106</v>
      </c>
      <c r="D174" s="841">
        <f t="shared" si="30"/>
        <v>244747.57468978921</v>
      </c>
      <c r="E174" s="807">
        <f t="shared" si="31"/>
        <v>81071.528369487598</v>
      </c>
      <c r="BA174" s="856"/>
      <c r="BB174" s="857"/>
      <c r="BC174" s="857"/>
      <c r="BD174" s="857"/>
    </row>
    <row r="175" spans="1:56" ht="14.25" x14ac:dyDescent="0.25">
      <c r="A175" s="802">
        <v>30</v>
      </c>
      <c r="B175" s="803">
        <v>2047</v>
      </c>
      <c r="C175" s="836">
        <f>HealthBenefits!F39</f>
        <v>576763.69219341106</v>
      </c>
      <c r="D175" s="841">
        <f t="shared" si="30"/>
        <v>237619.0045531934</v>
      </c>
      <c r="E175" s="807">
        <f t="shared" si="31"/>
        <v>75767.783522885598</v>
      </c>
      <c r="BA175" s="856"/>
      <c r="BB175" s="857"/>
      <c r="BC175" s="857"/>
      <c r="BD175" s="857"/>
    </row>
    <row r="176" spans="1:56" ht="14.25" x14ac:dyDescent="0.25">
      <c r="A176" s="802">
        <v>31</v>
      </c>
      <c r="B176" s="803">
        <v>2048</v>
      </c>
      <c r="C176" s="836">
        <f>HealthBenefits!F40</f>
        <v>576763.69219341106</v>
      </c>
      <c r="D176" s="841">
        <f t="shared" si="30"/>
        <v>230698.06267300327</v>
      </c>
      <c r="E176" s="807">
        <f t="shared" si="31"/>
        <v>70811.012638210828</v>
      </c>
      <c r="BA176" s="856"/>
      <c r="BB176" s="857"/>
      <c r="BC176" s="857"/>
      <c r="BD176" s="857"/>
    </row>
    <row r="177" spans="1:56" ht="14.25" x14ac:dyDescent="0.25">
      <c r="A177" s="802">
        <v>32</v>
      </c>
      <c r="B177" s="803">
        <v>2049</v>
      </c>
      <c r="C177" s="836">
        <f>HealthBenefits!F41</f>
        <v>576763.69219341106</v>
      </c>
      <c r="D177" s="841">
        <f t="shared" si="30"/>
        <v>223978.70162427504</v>
      </c>
      <c r="E177" s="807">
        <f t="shared" si="31"/>
        <v>66178.516484309192</v>
      </c>
      <c r="BA177" s="856"/>
      <c r="BB177" s="857"/>
      <c r="BC177" s="857"/>
      <c r="BD177" s="857"/>
    </row>
    <row r="178" spans="1:56" ht="14.25" x14ac:dyDescent="0.25">
      <c r="A178" s="802">
        <v>33</v>
      </c>
      <c r="B178" s="803">
        <v>2050</v>
      </c>
      <c r="C178" s="836">
        <f>HealthBenefits!F42</f>
        <v>576763.69219341106</v>
      </c>
      <c r="D178" s="841">
        <f t="shared" si="30"/>
        <v>217455.05012065539</v>
      </c>
      <c r="E178" s="807">
        <f t="shared" si="31"/>
        <v>61849.08082645719</v>
      </c>
      <c r="BA178" s="856"/>
      <c r="BB178" s="857"/>
      <c r="BC178" s="857"/>
      <c r="BD178" s="857"/>
    </row>
    <row r="179" spans="1:56" ht="15" thickBot="1" x14ac:dyDescent="0.3">
      <c r="A179" s="837" t="s">
        <v>387</v>
      </c>
      <c r="B179" s="842"/>
      <c r="C179" s="839">
        <f>SUM(C150:C178)</f>
        <v>14851134.06768129</v>
      </c>
      <c r="D179" s="840">
        <f>SUM(D150:D178)</f>
        <v>8454056.0797322728</v>
      </c>
      <c r="E179" s="1066">
        <f>SUM(E150:E178)</f>
        <v>4453347.881442762</v>
      </c>
      <c r="BA179" s="856"/>
      <c r="BB179" s="857"/>
      <c r="BC179" s="857"/>
      <c r="BD179" s="857"/>
    </row>
    <row r="180" spans="1:56" ht="14.25" x14ac:dyDescent="0.25">
      <c r="J180" s="781"/>
      <c r="K180" s="781"/>
      <c r="L180" s="781"/>
      <c r="AQ180" s="782"/>
      <c r="AR180" s="783"/>
      <c r="AS180" s="782"/>
      <c r="AU180" s="782"/>
      <c r="AW180" s="784"/>
      <c r="AX180" s="856"/>
      <c r="AY180" s="857"/>
      <c r="AZ180" s="857"/>
      <c r="BA180" s="857"/>
    </row>
    <row r="181" spans="1:56" ht="15.75" customHeight="1" thickBot="1" x14ac:dyDescent="0.3">
      <c r="A181" s="1170" t="s">
        <v>715</v>
      </c>
      <c r="B181" s="1170"/>
      <c r="C181" s="1170"/>
      <c r="D181" s="1170"/>
      <c r="E181" s="1170"/>
      <c r="F181" s="1170"/>
      <c r="G181" s="1170"/>
      <c r="H181" s="1170"/>
      <c r="I181" s="1170"/>
      <c r="K181" s="781"/>
      <c r="L181" s="781"/>
      <c r="AR181" s="782"/>
      <c r="AS181" s="783"/>
      <c r="AU181" s="782"/>
      <c r="AX181" s="784"/>
      <c r="AY181" s="856"/>
      <c r="AZ181" s="857"/>
      <c r="BA181" s="857"/>
      <c r="BB181" s="857"/>
    </row>
    <row r="182" spans="1:56" ht="14.25" x14ac:dyDescent="0.25">
      <c r="A182" s="785" t="s">
        <v>208</v>
      </c>
      <c r="B182" s="786" t="s">
        <v>206</v>
      </c>
      <c r="C182" s="787" t="s">
        <v>204</v>
      </c>
      <c r="D182" s="787" t="s">
        <v>309</v>
      </c>
      <c r="E182" s="787" t="s">
        <v>310</v>
      </c>
      <c r="F182" s="787" t="s">
        <v>311</v>
      </c>
      <c r="G182" s="787" t="s">
        <v>312</v>
      </c>
      <c r="H182" s="787" t="s">
        <v>313</v>
      </c>
      <c r="I182" s="787" t="s">
        <v>314</v>
      </c>
      <c r="J182" s="781"/>
      <c r="K182" s="781"/>
      <c r="L182" s="781"/>
      <c r="AL182" s="782"/>
      <c r="AM182" s="783"/>
      <c r="AN182" s="782"/>
      <c r="AO182" s="782"/>
      <c r="AP182" s="782"/>
      <c r="AQ182" s="782"/>
      <c r="AR182" s="784"/>
      <c r="AS182" s="856"/>
      <c r="AT182" s="857"/>
      <c r="AU182" s="857"/>
      <c r="AV182" s="857"/>
      <c r="AZ182" s="782"/>
    </row>
    <row r="183" spans="1:56" ht="71.25" x14ac:dyDescent="0.25">
      <c r="A183" s="1165" t="s">
        <v>7</v>
      </c>
      <c r="B183" s="1178" t="s">
        <v>316</v>
      </c>
      <c r="C183" s="891" t="s">
        <v>684</v>
      </c>
      <c r="D183" s="891" t="s">
        <v>819</v>
      </c>
      <c r="E183" s="891" t="s">
        <v>685</v>
      </c>
      <c r="F183" s="891" t="s">
        <v>820</v>
      </c>
      <c r="G183" s="891" t="s">
        <v>690</v>
      </c>
      <c r="H183" s="1168" t="s">
        <v>832</v>
      </c>
      <c r="I183" s="1169"/>
      <c r="J183" s="781"/>
      <c r="K183" s="781"/>
      <c r="L183" s="781"/>
      <c r="AO183" s="782"/>
      <c r="AP183" s="783"/>
      <c r="AQ183" s="782"/>
      <c r="AR183" s="782"/>
      <c r="AS183" s="782"/>
      <c r="AU183" s="784"/>
      <c r="AV183" s="856"/>
      <c r="AW183" s="857"/>
      <c r="AX183" s="857"/>
      <c r="AY183" s="857"/>
      <c r="AZ183" s="782"/>
    </row>
    <row r="184" spans="1:56" ht="14.25" x14ac:dyDescent="0.25">
      <c r="A184" s="1166"/>
      <c r="B184" s="1179"/>
      <c r="C184" s="793" t="s">
        <v>386</v>
      </c>
      <c r="D184" s="793" t="s">
        <v>386</v>
      </c>
      <c r="E184" s="793" t="s">
        <v>386</v>
      </c>
      <c r="F184" s="793" t="s">
        <v>386</v>
      </c>
      <c r="G184" s="793" t="s">
        <v>386</v>
      </c>
      <c r="H184" s="832">
        <f>3/100</f>
        <v>0.03</v>
      </c>
      <c r="I184" s="795">
        <f>7/100</f>
        <v>7.0000000000000007E-2</v>
      </c>
      <c r="J184" s="781"/>
      <c r="K184" s="781"/>
      <c r="L184" s="781"/>
      <c r="AO184" s="782"/>
      <c r="AP184" s="783"/>
      <c r="AQ184" s="782"/>
      <c r="AR184" s="782"/>
      <c r="AS184" s="782"/>
      <c r="AU184" s="784"/>
      <c r="AV184" s="856"/>
      <c r="AW184" s="857"/>
      <c r="AX184" s="857"/>
      <c r="AY184" s="857"/>
      <c r="AZ184" s="782"/>
    </row>
    <row r="185" spans="1:56" ht="29.25" thickBot="1" x14ac:dyDescent="0.3">
      <c r="A185" s="1166"/>
      <c r="B185" s="1179"/>
      <c r="C185" s="1391" t="s">
        <v>5</v>
      </c>
      <c r="D185" s="1391" t="s">
        <v>5</v>
      </c>
      <c r="E185" s="1391" t="s">
        <v>5</v>
      </c>
      <c r="F185" s="1391" t="s">
        <v>5</v>
      </c>
      <c r="G185" s="1391" t="s">
        <v>5</v>
      </c>
      <c r="H185" s="1392" t="s">
        <v>422</v>
      </c>
      <c r="I185" s="1393" t="s">
        <v>423</v>
      </c>
      <c r="J185" s="781"/>
      <c r="K185" s="781"/>
      <c r="L185" s="781"/>
      <c r="AO185" s="782"/>
      <c r="AP185" s="783"/>
      <c r="AQ185" s="782"/>
      <c r="AR185" s="782"/>
      <c r="AS185" s="782"/>
      <c r="AU185" s="784"/>
      <c r="AV185" s="856"/>
      <c r="AW185" s="857"/>
      <c r="AX185" s="857"/>
      <c r="AY185" s="857"/>
      <c r="AZ185" s="782"/>
    </row>
    <row r="186" spans="1:56" ht="14.25" x14ac:dyDescent="0.25">
      <c r="A186" s="1394">
        <v>5</v>
      </c>
      <c r="B186" s="1395">
        <v>2022</v>
      </c>
      <c r="C186" s="1396">
        <f>ModeShift!G14</f>
        <v>56909.085314364813</v>
      </c>
      <c r="D186" s="1396">
        <f>ModeShift!H14</f>
        <v>484428.01262495003</v>
      </c>
      <c r="E186" s="1396">
        <f>ModeShift!I14</f>
        <v>1044.3995876078052</v>
      </c>
      <c r="F186" s="1396">
        <f>SUM(ModeShift!K14:N14)</f>
        <v>8830.7370474683739</v>
      </c>
      <c r="G186" s="1396">
        <f>SUM(C186:F186)</f>
        <v>551212.23457439104</v>
      </c>
      <c r="H186" s="1397">
        <f>SUM(C186:F186)/(1+$E$4)^A186</f>
        <v>475480.51560389419</v>
      </c>
      <c r="I186" s="1398">
        <f>SUM(C186:F186)/(1+$F$4)^A186</f>
        <v>393006.70521385066</v>
      </c>
      <c r="J186" s="781"/>
      <c r="K186" s="781"/>
      <c r="L186" s="781"/>
      <c r="AO186" s="782"/>
      <c r="AP186" s="783"/>
      <c r="AQ186" s="782"/>
      <c r="AR186" s="782"/>
      <c r="AS186" s="782"/>
      <c r="AU186" s="784"/>
      <c r="AV186" s="856"/>
      <c r="AW186" s="857"/>
      <c r="AX186" s="857"/>
      <c r="AY186" s="857"/>
      <c r="AZ186" s="782"/>
    </row>
    <row r="187" spans="1:56" ht="14.25" x14ac:dyDescent="0.25">
      <c r="A187" s="802">
        <v>6</v>
      </c>
      <c r="B187" s="803">
        <v>2023</v>
      </c>
      <c r="C187" s="836">
        <f>ModeShift!G15</f>
        <v>58553.833565178531</v>
      </c>
      <c r="D187" s="836">
        <f>ModeShift!H15</f>
        <v>498428.62644625385</v>
      </c>
      <c r="E187" s="836">
        <f>ModeShift!I15</f>
        <v>1074.5841246703769</v>
      </c>
      <c r="F187" s="836">
        <f>SUM(ModeShift!K15:N15)</f>
        <v>9085.9570924223081</v>
      </c>
      <c r="G187" s="836">
        <f>SUM(C187:F187)</f>
        <v>567143.00122852507</v>
      </c>
      <c r="H187" s="841">
        <f>SUM(C187:F187)/(1+$E$4)^A187</f>
        <v>474973.33481720823</v>
      </c>
      <c r="I187" s="807">
        <f>SUM(C187:F187)/(1+$F$4)^A187</f>
        <v>377911.3286605865</v>
      </c>
      <c r="J187" s="781"/>
      <c r="K187" s="781"/>
      <c r="L187" s="781"/>
      <c r="AO187" s="782"/>
      <c r="AP187" s="783"/>
      <c r="AQ187" s="782"/>
      <c r="AR187" s="782"/>
      <c r="AS187" s="782"/>
      <c r="AU187" s="784"/>
      <c r="AV187" s="856"/>
      <c r="AW187" s="857"/>
      <c r="AX187" s="857"/>
      <c r="AY187" s="857"/>
      <c r="AZ187" s="782"/>
    </row>
    <row r="188" spans="1:56" ht="14.25" x14ac:dyDescent="0.25">
      <c r="A188" s="802">
        <v>7</v>
      </c>
      <c r="B188" s="803">
        <v>2024</v>
      </c>
      <c r="C188" s="836">
        <f>ModeShift!G16</f>
        <v>60198.581815992227</v>
      </c>
      <c r="D188" s="836">
        <f>ModeShift!H16</f>
        <v>512429.2402675575</v>
      </c>
      <c r="E188" s="836">
        <f>ModeShift!I16</f>
        <v>1104.7686617329484</v>
      </c>
      <c r="F188" s="836">
        <f>SUM(ModeShift!K16:N16)</f>
        <v>9341.1771373762404</v>
      </c>
      <c r="G188" s="836">
        <f>SUM(C188:F188)</f>
        <v>583073.76788265887</v>
      </c>
      <c r="H188" s="841">
        <f>SUM(C188:F188)/(1+$E$4)^A188</f>
        <v>474092.33115237491</v>
      </c>
      <c r="I188" s="807">
        <f>SUM(C188:F188)/(1+$F$4)^A188</f>
        <v>363109.03844860179</v>
      </c>
      <c r="J188" s="781"/>
      <c r="K188" s="781"/>
      <c r="L188" s="781"/>
      <c r="AO188" s="782"/>
      <c r="AP188" s="783"/>
      <c r="AQ188" s="782"/>
      <c r="AR188" s="782"/>
      <c r="AS188" s="782"/>
      <c r="AU188" s="784"/>
      <c r="AV188" s="856"/>
      <c r="AW188" s="857"/>
      <c r="AX188" s="857"/>
      <c r="AY188" s="857"/>
      <c r="AZ188" s="782"/>
    </row>
    <row r="189" spans="1:56" ht="14.25" x14ac:dyDescent="0.25">
      <c r="A189" s="802">
        <v>8</v>
      </c>
      <c r="B189" s="803">
        <v>2025</v>
      </c>
      <c r="C189" s="836">
        <f>ModeShift!G17</f>
        <v>61843.330066805953</v>
      </c>
      <c r="D189" s="836">
        <f>ModeShift!H17</f>
        <v>526429.85408886138</v>
      </c>
      <c r="E189" s="836">
        <f>ModeShift!I17</f>
        <v>1134.9531987955204</v>
      </c>
      <c r="F189" s="836">
        <f>SUM(ModeShift!K17:N17)</f>
        <v>9596.3971823301763</v>
      </c>
      <c r="G189" s="836">
        <f>SUM(C189:F189)</f>
        <v>599004.53453679301</v>
      </c>
      <c r="H189" s="841">
        <f>SUM(C189:F189)/(1+$E$4)^A189</f>
        <v>472859.7109592653</v>
      </c>
      <c r="I189" s="807">
        <f>SUM(C189:F189)/(1+$F$4)^A189</f>
        <v>348626.09277615655</v>
      </c>
      <c r="J189" s="781"/>
      <c r="K189" s="781"/>
      <c r="L189" s="781"/>
      <c r="AO189" s="782"/>
      <c r="AP189" s="783"/>
      <c r="AQ189" s="782"/>
      <c r="AR189" s="782"/>
      <c r="AS189" s="782"/>
      <c r="AU189" s="784"/>
      <c r="AV189" s="856"/>
      <c r="AW189" s="857"/>
      <c r="AX189" s="857"/>
      <c r="AY189" s="857"/>
      <c r="AZ189" s="782"/>
    </row>
    <row r="190" spans="1:56" ht="14.25" x14ac:dyDescent="0.25">
      <c r="A190" s="802">
        <v>9</v>
      </c>
      <c r="B190" s="803">
        <v>2026</v>
      </c>
      <c r="C190" s="836">
        <f>ModeShift!G18</f>
        <v>63488.078317619671</v>
      </c>
      <c r="D190" s="836">
        <f>ModeShift!H18</f>
        <v>540430.46791016508</v>
      </c>
      <c r="E190" s="836">
        <f>ModeShift!I18</f>
        <v>1165.1377358580924</v>
      </c>
      <c r="F190" s="836">
        <f>SUM(ModeShift!K18:N18)</f>
        <v>9851.6172272841104</v>
      </c>
      <c r="G190" s="836">
        <f>SUM(C190:F190)</f>
        <v>614935.30119092693</v>
      </c>
      <c r="H190" s="841">
        <f>SUM(C190:F190)/(1+$E$4)^A190</f>
        <v>471296.70414149424</v>
      </c>
      <c r="I190" s="807">
        <f>SUM(C190:F190)/(1+$F$4)^A190</f>
        <v>334484.05982389115</v>
      </c>
      <c r="J190" s="781"/>
      <c r="K190" s="781"/>
      <c r="L190" s="781"/>
      <c r="AO190" s="782"/>
      <c r="AP190" s="783"/>
      <c r="AQ190" s="782"/>
      <c r="AR190" s="782"/>
      <c r="AS190" s="782"/>
      <c r="AU190" s="784"/>
      <c r="AV190" s="856"/>
      <c r="AW190" s="857"/>
      <c r="AX190" s="857"/>
      <c r="AY190" s="857"/>
      <c r="AZ190" s="782"/>
    </row>
    <row r="191" spans="1:56" ht="14.25" x14ac:dyDescent="0.25">
      <c r="A191" s="802">
        <v>10</v>
      </c>
      <c r="B191" s="803">
        <v>2027</v>
      </c>
      <c r="C191" s="836">
        <f>ModeShift!G19</f>
        <v>65132.826568433382</v>
      </c>
      <c r="D191" s="836">
        <f>ModeShift!H19</f>
        <v>554431.0817314689</v>
      </c>
      <c r="E191" s="836">
        <f>ModeShift!I19</f>
        <v>1195.3222729206639</v>
      </c>
      <c r="F191" s="836">
        <f>SUM(ModeShift!K19:N19)</f>
        <v>10106.837272238046</v>
      </c>
      <c r="G191" s="836">
        <f>SUM(C191:F191)</f>
        <v>630866.06784506107</v>
      </c>
      <c r="H191" s="841">
        <f>SUM(C191:F191)/(1+$E$4)^A191</f>
        <v>469423.60219833453</v>
      </c>
      <c r="I191" s="807">
        <f>SUM(C191:F191)/(1+$F$4)^A191</f>
        <v>320700.31902084965</v>
      </c>
      <c r="J191" s="781"/>
      <c r="K191" s="781"/>
      <c r="L191" s="781" t="s">
        <v>475</v>
      </c>
      <c r="AO191" s="782"/>
      <c r="AP191" s="783"/>
      <c r="AQ191" s="782"/>
      <c r="AR191" s="782"/>
      <c r="AS191" s="782"/>
      <c r="AU191" s="784"/>
      <c r="AV191" s="856"/>
      <c r="AW191" s="857"/>
      <c r="AX191" s="857"/>
      <c r="AY191" s="857"/>
      <c r="AZ191" s="782"/>
    </row>
    <row r="192" spans="1:56" ht="14.25" x14ac:dyDescent="0.25">
      <c r="A192" s="802">
        <v>11</v>
      </c>
      <c r="B192" s="803">
        <v>2028</v>
      </c>
      <c r="C192" s="836">
        <f>ModeShift!G20</f>
        <v>66777.574819247107</v>
      </c>
      <c r="D192" s="836">
        <f>ModeShift!H20</f>
        <v>568431.69555277261</v>
      </c>
      <c r="E192" s="836">
        <f>ModeShift!I20</f>
        <v>1225.5068099832358</v>
      </c>
      <c r="F192" s="836">
        <f>SUM(ModeShift!K20:N20)</f>
        <v>10651.111404922742</v>
      </c>
      <c r="G192" s="836">
        <f>SUM(C192:F192)</f>
        <v>647085.88858692581</v>
      </c>
      <c r="H192" s="841">
        <f>SUM(C192:F192)/(1+$E$4)^A192</f>
        <v>467468.61370201141</v>
      </c>
      <c r="I192" s="807">
        <f>SUM(C192:F192)/(1+$F$4)^A192</f>
        <v>307425.84431170893</v>
      </c>
      <c r="J192" s="781"/>
      <c r="K192" s="781"/>
      <c r="L192" s="781"/>
      <c r="AO192" s="782"/>
      <c r="AP192" s="783"/>
      <c r="AQ192" s="782"/>
      <c r="AR192" s="782"/>
      <c r="AS192" s="782"/>
      <c r="AU192" s="784"/>
      <c r="AV192" s="856"/>
      <c r="AW192" s="857"/>
      <c r="AX192" s="857"/>
      <c r="AY192" s="857"/>
      <c r="AZ192" s="782"/>
    </row>
    <row r="193" spans="1:52" ht="14.25" x14ac:dyDescent="0.25">
      <c r="A193" s="802">
        <v>12</v>
      </c>
      <c r="B193" s="803">
        <v>2029</v>
      </c>
      <c r="C193" s="836">
        <f>ModeShift!G21</f>
        <v>68422.323070060811</v>
      </c>
      <c r="D193" s="836">
        <f>ModeShift!H21</f>
        <v>582432.30937407631</v>
      </c>
      <c r="E193" s="836">
        <f>ModeShift!I21</f>
        <v>1255.6913470458073</v>
      </c>
      <c r="F193" s="836">
        <f>SUM(ModeShift!K21:N21)</f>
        <v>10913.450923838893</v>
      </c>
      <c r="G193" s="836">
        <f>SUM(C193:F193)</f>
        <v>663023.77471502183</v>
      </c>
      <c r="H193" s="841">
        <f>SUM(C193:F193)/(1+$E$4)^A193</f>
        <v>465031.53567471489</v>
      </c>
      <c r="I193" s="807">
        <f>SUM(C193:F193)/(1+$F$4)^A193</f>
        <v>294390.48523440474</v>
      </c>
      <c r="J193" s="781"/>
      <c r="K193" s="781"/>
      <c r="L193" s="781"/>
      <c r="AO193" s="782"/>
      <c r="AP193" s="783"/>
      <c r="AQ193" s="782"/>
      <c r="AR193" s="782"/>
      <c r="AS193" s="782"/>
      <c r="AU193" s="784"/>
      <c r="AV193" s="856"/>
      <c r="AW193" s="857"/>
      <c r="AX193" s="857"/>
      <c r="AY193" s="857"/>
      <c r="AZ193" s="782"/>
    </row>
    <row r="194" spans="1:52" ht="14.25" x14ac:dyDescent="0.25">
      <c r="A194" s="802">
        <v>13</v>
      </c>
      <c r="B194" s="803">
        <v>2030</v>
      </c>
      <c r="C194" s="836">
        <f>ModeShift!G22</f>
        <v>70067.071320874529</v>
      </c>
      <c r="D194" s="836">
        <f>ModeShift!H22</f>
        <v>596432.92319538014</v>
      </c>
      <c r="E194" s="836">
        <f>ModeShift!I22</f>
        <v>1285.8758841083793</v>
      </c>
      <c r="F194" s="836">
        <f>SUM(ModeShift!K22:N22)</f>
        <v>11175.790442755047</v>
      </c>
      <c r="G194" s="836">
        <f>SUM(C194:F194)</f>
        <v>678961.66084311809</v>
      </c>
      <c r="H194" s="841">
        <f>SUM(C194:F194)/(1+$E$4)^A194</f>
        <v>462339.85275511484</v>
      </c>
      <c r="I194" s="807">
        <f>SUM(C194:F194)/(1+$F$4)^A194</f>
        <v>281744.95072924905</v>
      </c>
      <c r="J194" s="781"/>
      <c r="K194" s="781"/>
      <c r="L194" s="781"/>
      <c r="AO194" s="782"/>
      <c r="AP194" s="783"/>
      <c r="AQ194" s="782"/>
      <c r="AR194" s="782"/>
      <c r="AS194" s="782"/>
      <c r="AU194" s="784"/>
      <c r="AV194" s="856"/>
      <c r="AW194" s="857"/>
      <c r="AX194" s="857"/>
      <c r="AY194" s="857"/>
      <c r="AZ194" s="782"/>
    </row>
    <row r="195" spans="1:52" ht="14.25" x14ac:dyDescent="0.25">
      <c r="A195" s="802">
        <v>14</v>
      </c>
      <c r="B195" s="803">
        <v>2031</v>
      </c>
      <c r="C195" s="836">
        <f>ModeShift!G23</f>
        <v>71711.819571688247</v>
      </c>
      <c r="D195" s="836">
        <f>ModeShift!H23</f>
        <v>610433.53701668384</v>
      </c>
      <c r="E195" s="836">
        <f>ModeShift!I23</f>
        <v>1316.0604211709508</v>
      </c>
      <c r="F195" s="836">
        <f>SUM(ModeShift!K23:N23)</f>
        <v>11438.129961671197</v>
      </c>
      <c r="G195" s="836">
        <f>SUM(C195:F195)</f>
        <v>694899.54697121412</v>
      </c>
      <c r="H195" s="841">
        <f>SUM(C195:F195)/(1+$E$4)^A195</f>
        <v>459410.46375796164</v>
      </c>
      <c r="I195" s="807">
        <f>SUM(C195:F195)/(1+$F$4)^A195</f>
        <v>269494.02509056521</v>
      </c>
      <c r="J195" s="781"/>
      <c r="K195" s="781"/>
      <c r="L195" s="781"/>
      <c r="AO195" s="782"/>
      <c r="AP195" s="783"/>
      <c r="AQ195" s="782"/>
      <c r="AR195" s="782"/>
      <c r="AS195" s="782"/>
      <c r="AU195" s="784"/>
      <c r="AV195" s="856"/>
      <c r="AW195" s="857"/>
      <c r="AX195" s="857"/>
      <c r="AY195" s="857"/>
      <c r="AZ195" s="782"/>
    </row>
    <row r="196" spans="1:52" ht="14.25" x14ac:dyDescent="0.25">
      <c r="A196" s="802">
        <v>15</v>
      </c>
      <c r="B196" s="803">
        <v>2032</v>
      </c>
      <c r="C196" s="836">
        <f>ModeShift!G24</f>
        <v>73356.567822501966</v>
      </c>
      <c r="D196" s="836">
        <f>ModeShift!H24</f>
        <v>624434.15083798766</v>
      </c>
      <c r="E196" s="836">
        <f>ModeShift!I24</f>
        <v>1346.2449582335228</v>
      </c>
      <c r="F196" s="836">
        <f>SUM(ModeShift!K24:N24)</f>
        <v>11700.469480587353</v>
      </c>
      <c r="G196" s="836">
        <f>SUM(C196:F196)</f>
        <v>710837.43309931061</v>
      </c>
      <c r="H196" s="841">
        <f>SUM(C196:F196)/(1+$E$4)^A196</f>
        <v>456259.49909160752</v>
      </c>
      <c r="I196" s="807">
        <f>SUM(C196:F196)/(1+$F$4)^A196</f>
        <v>257640.19823963728</v>
      </c>
      <c r="J196" s="781"/>
      <c r="K196" s="781"/>
      <c r="L196" s="781"/>
      <c r="AO196" s="782"/>
      <c r="AP196" s="783"/>
      <c r="AQ196" s="782"/>
      <c r="AR196" s="782"/>
      <c r="AS196" s="782"/>
      <c r="AU196" s="784"/>
      <c r="AV196" s="856"/>
      <c r="AW196" s="857"/>
      <c r="AX196" s="857"/>
      <c r="AY196" s="857"/>
      <c r="AZ196" s="782"/>
    </row>
    <row r="197" spans="1:52" ht="14.25" x14ac:dyDescent="0.25">
      <c r="A197" s="802">
        <v>16</v>
      </c>
      <c r="B197" s="803">
        <v>2033</v>
      </c>
      <c r="C197" s="836">
        <f>ModeShift!G25</f>
        <v>75001.316073315684</v>
      </c>
      <c r="D197" s="836">
        <f>ModeShift!H25</f>
        <v>638434.76465929148</v>
      </c>
      <c r="E197" s="836">
        <f>ModeShift!I25</f>
        <v>1376.4294952960947</v>
      </c>
      <c r="F197" s="836">
        <f>SUM(ModeShift!K25:N25)</f>
        <v>11962.808999503508</v>
      </c>
      <c r="G197" s="836">
        <f>SUM(C197:F197)</f>
        <v>726775.31922740676</v>
      </c>
      <c r="H197" s="841">
        <f>SUM(C197:F197)/(1+$E$4)^A197</f>
        <v>452902.35118366458</v>
      </c>
      <c r="I197" s="807">
        <f>SUM(C197:F197)/(1+$F$4)^A197</f>
        <v>246183.94544698964</v>
      </c>
      <c r="J197" s="781"/>
      <c r="K197" s="781"/>
      <c r="L197" s="781"/>
      <c r="AO197" s="782"/>
      <c r="AP197" s="783"/>
      <c r="AQ197" s="782"/>
      <c r="AR197" s="782"/>
      <c r="AS197" s="782"/>
      <c r="AU197" s="784"/>
      <c r="AV197" s="856"/>
      <c r="AW197" s="857"/>
      <c r="AX197" s="857"/>
      <c r="AY197" s="857"/>
      <c r="AZ197" s="782"/>
    </row>
    <row r="198" spans="1:52" ht="14.25" x14ac:dyDescent="0.25">
      <c r="A198" s="802">
        <v>17</v>
      </c>
      <c r="B198" s="803">
        <v>2034</v>
      </c>
      <c r="C198" s="836">
        <f>ModeShift!G26</f>
        <v>76646.064324129387</v>
      </c>
      <c r="D198" s="836">
        <f>ModeShift!H26</f>
        <v>652435.37848059519</v>
      </c>
      <c r="E198" s="836">
        <f>ModeShift!I26</f>
        <v>1406.6140323586662</v>
      </c>
      <c r="F198" s="836">
        <f>SUM(ModeShift!K26:N26)</f>
        <v>12225.148518419657</v>
      </c>
      <c r="G198" s="836">
        <f>SUM(C198:F198)</f>
        <v>742713.2053555029</v>
      </c>
      <c r="H198" s="841">
        <f>SUM(C198:F198)/(1+$E$4)^A198</f>
        <v>449353.70378616406</v>
      </c>
      <c r="I198" s="807">
        <f>SUM(C198:F198)/(1+$F$4)^A198</f>
        <v>235123.9802750638</v>
      </c>
      <c r="J198" s="781"/>
      <c r="K198" s="781"/>
      <c r="L198" s="781"/>
      <c r="AO198" s="782"/>
      <c r="AP198" s="783"/>
      <c r="AQ198" s="782"/>
      <c r="AR198" s="782"/>
      <c r="AS198" s="782"/>
      <c r="AU198" s="784"/>
      <c r="AV198" s="856"/>
      <c r="AW198" s="857"/>
      <c r="AX198" s="857"/>
      <c r="AY198" s="857"/>
      <c r="AZ198" s="782"/>
    </row>
    <row r="199" spans="1:52" ht="14.25" x14ac:dyDescent="0.25">
      <c r="A199" s="802">
        <v>18</v>
      </c>
      <c r="B199" s="803">
        <v>2035</v>
      </c>
      <c r="C199" s="836">
        <f>ModeShift!G27</f>
        <v>78290.812574943106</v>
      </c>
      <c r="D199" s="836">
        <f>ModeShift!H27</f>
        <v>666435.99230189901</v>
      </c>
      <c r="E199" s="836">
        <f>ModeShift!I27</f>
        <v>1436.798569421238</v>
      </c>
      <c r="F199" s="836">
        <f>SUM(ModeShift!K27:N27)</f>
        <v>13630.719804992943</v>
      </c>
      <c r="G199" s="836">
        <f>SUM(C199:F199)</f>
        <v>759794.32325125625</v>
      </c>
      <c r="H199" s="841">
        <f>SUM(C199:F199)/(1+$E$4)^A199</f>
        <v>446299.08837525075</v>
      </c>
      <c r="I199" s="807">
        <f>SUM(C199:F199)/(1+$F$4)^A199</f>
        <v>224795.72407603505</v>
      </c>
      <c r="J199" s="781"/>
      <c r="K199" s="781"/>
      <c r="L199" s="781"/>
      <c r="AO199" s="782"/>
      <c r="AP199" s="783"/>
      <c r="AQ199" s="782"/>
      <c r="AR199" s="782"/>
      <c r="AS199" s="782"/>
      <c r="AU199" s="784"/>
      <c r="AV199" s="856"/>
      <c r="AW199" s="857"/>
      <c r="AX199" s="857"/>
      <c r="AY199" s="857"/>
      <c r="AZ199" s="782"/>
    </row>
    <row r="200" spans="1:52" ht="14.25" x14ac:dyDescent="0.25">
      <c r="A200" s="802">
        <v>19</v>
      </c>
      <c r="B200" s="803">
        <v>2036</v>
      </c>
      <c r="C200" s="836">
        <f>ModeShift!G28</f>
        <v>79935.560825756809</v>
      </c>
      <c r="D200" s="836">
        <f>ModeShift!H28</f>
        <v>680436.60612320271</v>
      </c>
      <c r="E200" s="836">
        <f>ModeShift!I28</f>
        <v>1466.9831064838097</v>
      </c>
      <c r="F200" s="836">
        <f>SUM(ModeShift!K28:N28)</f>
        <v>13917.076553878816</v>
      </c>
      <c r="G200" s="836">
        <f>SUM(C200:F200)</f>
        <v>775756.22660932213</v>
      </c>
      <c r="H200" s="841">
        <f>SUM(C200:F200)/(1+$E$4)^A200</f>
        <v>442402.93624764163</v>
      </c>
      <c r="I200" s="807">
        <f>SUM(C200:F200)/(1+$F$4)^A200</f>
        <v>214503.06104252269</v>
      </c>
      <c r="J200" s="781"/>
      <c r="K200" s="781"/>
      <c r="L200" s="781"/>
      <c r="AO200" s="782"/>
      <c r="AP200" s="783"/>
      <c r="AQ200" s="782"/>
      <c r="AR200" s="782"/>
      <c r="AS200" s="782"/>
      <c r="AU200" s="784"/>
      <c r="AV200" s="856"/>
      <c r="AW200" s="857"/>
      <c r="AX200" s="857"/>
      <c r="AY200" s="857"/>
      <c r="AZ200" s="782"/>
    </row>
    <row r="201" spans="1:52" ht="14.25" x14ac:dyDescent="0.25">
      <c r="A201" s="802">
        <v>20</v>
      </c>
      <c r="B201" s="803">
        <v>2037</v>
      </c>
      <c r="C201" s="836">
        <f>ModeShift!G29</f>
        <v>81580.309076570527</v>
      </c>
      <c r="D201" s="836">
        <f>ModeShift!H29</f>
        <v>694437.21994450642</v>
      </c>
      <c r="E201" s="836">
        <f>ModeShift!I29</f>
        <v>1497.1676435463814</v>
      </c>
      <c r="F201" s="836">
        <f>SUM(ModeShift!K29:N29)</f>
        <v>14203.433302764692</v>
      </c>
      <c r="G201" s="836">
        <f>SUM(C201:F201)</f>
        <v>791718.129967388</v>
      </c>
      <c r="H201" s="841">
        <f>SUM(C201:F201)/(1+$E$4)^A201</f>
        <v>438355.1327126883</v>
      </c>
      <c r="I201" s="807">
        <f>SUM(C201:F201)/(1+$F$4)^A201</f>
        <v>204595.0096558333</v>
      </c>
      <c r="J201" s="781"/>
      <c r="K201" s="781"/>
      <c r="L201" s="781"/>
      <c r="AO201" s="782"/>
      <c r="AP201" s="783"/>
      <c r="AQ201" s="782"/>
      <c r="AR201" s="782"/>
      <c r="AS201" s="782"/>
      <c r="AU201" s="784"/>
      <c r="AV201" s="856"/>
      <c r="AW201" s="857"/>
      <c r="AX201" s="857"/>
      <c r="AY201" s="857"/>
      <c r="AZ201" s="782"/>
    </row>
    <row r="202" spans="1:52" ht="14.25" x14ac:dyDescent="0.25">
      <c r="A202" s="802">
        <v>21</v>
      </c>
      <c r="B202" s="803">
        <v>2038</v>
      </c>
      <c r="C202" s="836">
        <f>ModeShift!G30</f>
        <v>83225.057327384246</v>
      </c>
      <c r="D202" s="836">
        <f>ModeShift!H30</f>
        <v>708437.83376581024</v>
      </c>
      <c r="E202" s="836">
        <f>ModeShift!I30</f>
        <v>1527.3521806089534</v>
      </c>
      <c r="F202" s="836">
        <f>SUM(ModeShift!K30:N30)</f>
        <v>14489.790051650565</v>
      </c>
      <c r="G202" s="836">
        <f>SUM(C202:F202)</f>
        <v>807680.03332545399</v>
      </c>
      <c r="H202" s="841">
        <f>SUM(C202:F202)/(1+$E$4)^A202</f>
        <v>434167.81708030577</v>
      </c>
      <c r="I202" s="807">
        <f>SUM(C202:F202)/(1+$F$4)^A202</f>
        <v>195065.297948258</v>
      </c>
      <c r="J202" s="781"/>
      <c r="K202" s="781"/>
      <c r="L202" s="781"/>
      <c r="AO202" s="782"/>
      <c r="AP202" s="783"/>
      <c r="AQ202" s="782"/>
      <c r="AR202" s="782"/>
      <c r="AS202" s="782"/>
      <c r="AU202" s="784"/>
      <c r="AV202" s="856"/>
      <c r="AW202" s="857"/>
      <c r="AX202" s="857"/>
      <c r="AY202" s="857"/>
      <c r="AZ202" s="782"/>
    </row>
    <row r="203" spans="1:52" ht="14.25" x14ac:dyDescent="0.25">
      <c r="A203" s="802">
        <v>22</v>
      </c>
      <c r="B203" s="803">
        <v>2039</v>
      </c>
      <c r="C203" s="836">
        <f>ModeShift!G31</f>
        <v>84869.805578197964</v>
      </c>
      <c r="D203" s="836">
        <f>ModeShift!H31</f>
        <v>722438.44758711406</v>
      </c>
      <c r="E203" s="836">
        <f>ModeShift!I31</f>
        <v>1557.5367176715251</v>
      </c>
      <c r="F203" s="836">
        <f>SUM(ModeShift!K31:N31)</f>
        <v>14776.146800536439</v>
      </c>
      <c r="G203" s="836">
        <f>SUM(C203:F203)</f>
        <v>823641.93668351998</v>
      </c>
      <c r="H203" s="841">
        <f>SUM(C203:F203)/(1+$E$4)^A203</f>
        <v>429852.5501675384</v>
      </c>
      <c r="I203" s="807">
        <f>SUM(C203:F203)/(1+$F$4)^A203</f>
        <v>185906.82850330928</v>
      </c>
      <c r="J203" s="781"/>
      <c r="K203" s="781"/>
      <c r="L203" s="781"/>
      <c r="AO203" s="782"/>
      <c r="AP203" s="783"/>
      <c r="AQ203" s="782"/>
      <c r="AR203" s="782"/>
      <c r="AS203" s="782"/>
      <c r="AU203" s="784"/>
      <c r="AV203" s="856"/>
      <c r="AW203" s="857"/>
      <c r="AX203" s="857"/>
      <c r="AY203" s="857"/>
      <c r="AZ203" s="782"/>
    </row>
    <row r="204" spans="1:52" ht="14.25" x14ac:dyDescent="0.25">
      <c r="A204" s="802">
        <v>23</v>
      </c>
      <c r="B204" s="803">
        <v>2040</v>
      </c>
      <c r="C204" s="836">
        <f>ModeShift!G32</f>
        <v>86514.553829011667</v>
      </c>
      <c r="D204" s="836">
        <f>ModeShift!H32</f>
        <v>736439.06140841765</v>
      </c>
      <c r="E204" s="836">
        <f>ModeShift!I32</f>
        <v>1587.7212547340966</v>
      </c>
      <c r="F204" s="836">
        <f>SUM(ModeShift!K32:N32)</f>
        <v>15062.50354942231</v>
      </c>
      <c r="G204" s="836">
        <f>SUM(C204:F204)</f>
        <v>839603.84004158562</v>
      </c>
      <c r="H204" s="841">
        <f>SUM(C204:F204)/(1+$E$4)^A204</f>
        <v>425420.33769895672</v>
      </c>
      <c r="I204" s="807">
        <f>SUM(C204:F204)/(1+$F$4)^A204</f>
        <v>177111.81330144449</v>
      </c>
      <c r="J204" s="781"/>
      <c r="K204" s="781"/>
      <c r="L204" s="781"/>
      <c r="AO204" s="782"/>
      <c r="AP204" s="783"/>
      <c r="AQ204" s="782"/>
      <c r="AR204" s="782"/>
      <c r="AS204" s="782"/>
      <c r="AU204" s="784"/>
      <c r="AV204" s="856"/>
      <c r="AW204" s="857"/>
      <c r="AX204" s="857"/>
      <c r="AY204" s="857"/>
      <c r="AZ204" s="782"/>
    </row>
    <row r="205" spans="1:52" ht="14.25" x14ac:dyDescent="0.25">
      <c r="A205" s="802">
        <v>24</v>
      </c>
      <c r="B205" s="803">
        <v>2041</v>
      </c>
      <c r="C205" s="836">
        <f>ModeShift!G33</f>
        <v>86514.553829011667</v>
      </c>
      <c r="D205" s="836">
        <f>ModeShift!H33</f>
        <v>736439.06140841765</v>
      </c>
      <c r="E205" s="836">
        <f>ModeShift!I33</f>
        <v>1587.7212547340966</v>
      </c>
      <c r="F205" s="836">
        <f>SUM(ModeShift!K33:N33)</f>
        <v>15062.50354942231</v>
      </c>
      <c r="G205" s="836">
        <f>SUM(C205:F205)</f>
        <v>839603.84004158562</v>
      </c>
      <c r="H205" s="841">
        <f>SUM(C205:F205)/(1+$E$4)^A205</f>
        <v>413029.45407665701</v>
      </c>
      <c r="I205" s="807">
        <f>SUM(C205:F205)/(1+$F$4)^A205</f>
        <v>165525.0591602285</v>
      </c>
      <c r="J205" s="781"/>
      <c r="K205" s="781"/>
      <c r="L205" s="781"/>
      <c r="AO205" s="782"/>
      <c r="AP205" s="783"/>
      <c r="AQ205" s="782"/>
      <c r="AR205" s="782"/>
      <c r="AS205" s="782"/>
      <c r="AU205" s="784"/>
      <c r="AV205" s="856"/>
      <c r="AW205" s="857"/>
      <c r="AX205" s="857"/>
      <c r="AY205" s="857"/>
      <c r="AZ205" s="782"/>
    </row>
    <row r="206" spans="1:52" ht="14.25" x14ac:dyDescent="0.25">
      <c r="A206" s="802">
        <v>25</v>
      </c>
      <c r="B206" s="803">
        <v>2042</v>
      </c>
      <c r="C206" s="836">
        <f>ModeShift!G34</f>
        <v>86514.553829011667</v>
      </c>
      <c r="D206" s="836">
        <f>ModeShift!H34</f>
        <v>736439.06140841765</v>
      </c>
      <c r="E206" s="836">
        <f>ModeShift!I34</f>
        <v>1587.7212547340966</v>
      </c>
      <c r="F206" s="836">
        <f>SUM(ModeShift!K34:N34)</f>
        <v>15062.50354942231</v>
      </c>
      <c r="G206" s="836">
        <f>SUM(C206:F206)</f>
        <v>839603.84004158562</v>
      </c>
      <c r="H206" s="841">
        <f>SUM(C206:F206)/(1+$E$4)^A206</f>
        <v>400999.46997733694</v>
      </c>
      <c r="I206" s="807">
        <f>SUM(C206:F206)/(1+$F$4)^A206</f>
        <v>154696.31697217614</v>
      </c>
      <c r="J206" s="781"/>
      <c r="K206" s="781"/>
      <c r="L206" s="781"/>
      <c r="AO206" s="782"/>
      <c r="AP206" s="783"/>
      <c r="AQ206" s="782"/>
      <c r="AR206" s="782"/>
      <c r="AS206" s="782"/>
      <c r="AU206" s="784"/>
      <c r="AV206" s="856"/>
      <c r="AW206" s="857"/>
      <c r="AX206" s="857"/>
      <c r="AY206" s="857"/>
      <c r="AZ206" s="782"/>
    </row>
    <row r="207" spans="1:52" ht="14.25" x14ac:dyDescent="0.25">
      <c r="A207" s="802">
        <v>26</v>
      </c>
      <c r="B207" s="803">
        <v>2043</v>
      </c>
      <c r="C207" s="836">
        <f>ModeShift!G35</f>
        <v>86514.553829011667</v>
      </c>
      <c r="D207" s="836">
        <f>ModeShift!H35</f>
        <v>736439.06140841765</v>
      </c>
      <c r="E207" s="836">
        <f>ModeShift!I35</f>
        <v>1587.7212547340966</v>
      </c>
      <c r="F207" s="836">
        <f>SUM(ModeShift!K35:N35)</f>
        <v>18113.210088672608</v>
      </c>
      <c r="G207" s="836">
        <f>SUM(C207:F207)</f>
        <v>842654.54658083594</v>
      </c>
      <c r="H207" s="841">
        <f>SUM(C207:F207)/(1+$E$4)^A207</f>
        <v>390734.47030161729</v>
      </c>
      <c r="I207" s="807">
        <f>SUM(C207:F207)/(1+$F$4)^A207</f>
        <v>145101.31508681751</v>
      </c>
      <c r="J207" s="781"/>
      <c r="K207" s="781"/>
      <c r="L207" s="781"/>
      <c r="AO207" s="782"/>
      <c r="AP207" s="783"/>
      <c r="AQ207" s="782"/>
      <c r="AR207" s="782"/>
      <c r="AS207" s="782"/>
      <c r="AU207" s="784"/>
      <c r="AV207" s="856"/>
      <c r="AW207" s="857"/>
      <c r="AX207" s="857"/>
      <c r="AY207" s="857"/>
      <c r="AZ207" s="782"/>
    </row>
    <row r="208" spans="1:52" ht="14.25" x14ac:dyDescent="0.25">
      <c r="A208" s="802">
        <v>27</v>
      </c>
      <c r="B208" s="803">
        <v>2044</v>
      </c>
      <c r="C208" s="836">
        <f>ModeShift!G36</f>
        <v>86514.553829011667</v>
      </c>
      <c r="D208" s="836">
        <f>ModeShift!H36</f>
        <v>736439.06140841765</v>
      </c>
      <c r="E208" s="836">
        <f>ModeShift!I36</f>
        <v>1587.7212547340966</v>
      </c>
      <c r="F208" s="836">
        <f>SUM(ModeShift!K36:N36)</f>
        <v>18113.210088672608</v>
      </c>
      <c r="G208" s="836">
        <f>SUM(C208:F208)</f>
        <v>842654.54658083594</v>
      </c>
      <c r="H208" s="841">
        <f>SUM(C208:F208)/(1+$E$4)^A208</f>
        <v>379353.8546617644</v>
      </c>
      <c r="I208" s="807">
        <f>SUM(C208:F208)/(1+$F$4)^A208</f>
        <v>135608.70568861449</v>
      </c>
      <c r="J208" s="781"/>
      <c r="K208" s="781"/>
      <c r="L208" s="781"/>
      <c r="AO208" s="782"/>
      <c r="AP208" s="783"/>
      <c r="AQ208" s="782"/>
      <c r="AR208" s="782"/>
      <c r="AS208" s="782"/>
      <c r="AU208" s="784"/>
      <c r="AV208" s="856"/>
      <c r="AW208" s="857"/>
      <c r="AX208" s="857"/>
      <c r="AY208" s="857"/>
      <c r="AZ208" s="782"/>
    </row>
    <row r="209" spans="1:56" ht="14.25" x14ac:dyDescent="0.25">
      <c r="A209" s="802">
        <v>28</v>
      </c>
      <c r="B209" s="803">
        <v>2045</v>
      </c>
      <c r="C209" s="836">
        <f>ModeShift!G37</f>
        <v>86514.553829011667</v>
      </c>
      <c r="D209" s="836">
        <f>ModeShift!H37</f>
        <v>736439.06140841765</v>
      </c>
      <c r="E209" s="836">
        <f>ModeShift!I37</f>
        <v>1587.7212547340966</v>
      </c>
      <c r="F209" s="836">
        <f>SUM(ModeShift!K37:N37)</f>
        <v>18113.210088672608</v>
      </c>
      <c r="G209" s="836">
        <f>SUM(C209:F209)</f>
        <v>842654.54658083594</v>
      </c>
      <c r="H209" s="841">
        <f>SUM(C209:F209)/(1+$E$4)^A209</f>
        <v>368304.71326384891</v>
      </c>
      <c r="I209" s="807">
        <f>SUM(C209:F209)/(1+$F$4)^A209</f>
        <v>126737.10812020047</v>
      </c>
      <c r="J209" s="781"/>
      <c r="K209" s="781"/>
      <c r="L209" s="781"/>
      <c r="AO209" s="782"/>
      <c r="AP209" s="783"/>
      <c r="AQ209" s="782"/>
      <c r="AR209" s="782"/>
      <c r="AS209" s="782"/>
      <c r="AU209" s="784"/>
      <c r="AV209" s="856"/>
      <c r="AW209" s="857"/>
      <c r="AX209" s="857"/>
      <c r="AY209" s="857"/>
      <c r="AZ209" s="782"/>
    </row>
    <row r="210" spans="1:56" ht="14.25" x14ac:dyDescent="0.25">
      <c r="A210" s="802">
        <v>29</v>
      </c>
      <c r="B210" s="803">
        <v>2046</v>
      </c>
      <c r="C210" s="836">
        <f>ModeShift!G38</f>
        <v>86514.553829011667</v>
      </c>
      <c r="D210" s="836">
        <f>ModeShift!H38</f>
        <v>736439.06140841765</v>
      </c>
      <c r="E210" s="836">
        <f>ModeShift!I38</f>
        <v>1587.7212547340966</v>
      </c>
      <c r="F210" s="836">
        <f>SUM(ModeShift!K38:N38)</f>
        <v>18113.210088672608</v>
      </c>
      <c r="G210" s="836">
        <f>SUM(C210:F210)</f>
        <v>842654.54658083594</v>
      </c>
      <c r="H210" s="841">
        <f>SUM(C210:F210)/(1+$E$4)^A210</f>
        <v>357577.39151829999</v>
      </c>
      <c r="I210" s="807">
        <f>SUM(C210:F210)/(1+$F$4)^A210</f>
        <v>118445.8954394397</v>
      </c>
      <c r="J210" s="781"/>
      <c r="K210" s="781"/>
      <c r="L210" s="781"/>
      <c r="AO210" s="782"/>
      <c r="AP210" s="783"/>
      <c r="AQ210" s="782"/>
      <c r="AR210" s="782"/>
      <c r="AS210" s="782"/>
      <c r="AU210" s="784"/>
      <c r="AV210" s="856"/>
      <c r="AW210" s="857"/>
      <c r="AX210" s="857"/>
      <c r="AY210" s="857"/>
      <c r="AZ210" s="782"/>
    </row>
    <row r="211" spans="1:56" ht="14.25" x14ac:dyDescent="0.25">
      <c r="A211" s="802">
        <v>30</v>
      </c>
      <c r="B211" s="803">
        <v>2047</v>
      </c>
      <c r="C211" s="836">
        <f>ModeShift!G39</f>
        <v>86514.553829011667</v>
      </c>
      <c r="D211" s="836">
        <f>ModeShift!H39</f>
        <v>736439.06140841765</v>
      </c>
      <c r="E211" s="836">
        <f>ModeShift!I39</f>
        <v>1587.7212547340966</v>
      </c>
      <c r="F211" s="836">
        <f>SUM(ModeShift!K39:N39)</f>
        <v>18113.210088672608</v>
      </c>
      <c r="G211" s="836">
        <f>SUM(C211:F211)</f>
        <v>842654.54658083594</v>
      </c>
      <c r="H211" s="841">
        <f>SUM(C211:F211)/(1+$E$4)^A211</f>
        <v>347162.51603718445</v>
      </c>
      <c r="I211" s="807">
        <f>SUM(C211:F211)/(1+$F$4)^A211</f>
        <v>110697.09854153242</v>
      </c>
      <c r="J211" s="781"/>
      <c r="K211" s="781"/>
      <c r="L211" s="781"/>
      <c r="AO211" s="782"/>
      <c r="AP211" s="783"/>
      <c r="AQ211" s="782"/>
      <c r="AR211" s="782"/>
      <c r="AS211" s="782"/>
      <c r="AU211" s="784"/>
      <c r="AV211" s="856"/>
      <c r="AW211" s="857"/>
      <c r="AX211" s="857"/>
      <c r="AY211" s="857"/>
      <c r="AZ211" s="782"/>
    </row>
    <row r="212" spans="1:56" ht="14.25" x14ac:dyDescent="0.25">
      <c r="A212" s="802">
        <v>31</v>
      </c>
      <c r="B212" s="803">
        <v>2048</v>
      </c>
      <c r="C212" s="836">
        <f>ModeShift!G40</f>
        <v>86514.553829011667</v>
      </c>
      <c r="D212" s="836">
        <f>ModeShift!H40</f>
        <v>736439.06140841765</v>
      </c>
      <c r="E212" s="836">
        <f>ModeShift!I40</f>
        <v>1587.7212547340966</v>
      </c>
      <c r="F212" s="836">
        <f>SUM(ModeShift!K40:N40)</f>
        <v>18113.210088672608</v>
      </c>
      <c r="G212" s="836">
        <f>SUM(C212:F212)</f>
        <v>842654.54658083594</v>
      </c>
      <c r="H212" s="841">
        <f>SUM(C212:F212)/(1+$E$4)^A212</f>
        <v>337050.98644386831</v>
      </c>
      <c r="I212" s="807">
        <f>SUM(C212:F212)/(1+$F$4)^A212</f>
        <v>103455.23228180599</v>
      </c>
      <c r="J212" s="781"/>
      <c r="K212" s="781"/>
      <c r="L212" s="781"/>
      <c r="AO212" s="782"/>
      <c r="AP212" s="783"/>
      <c r="AQ212" s="782"/>
      <c r="AR212" s="782"/>
      <c r="AS212" s="782"/>
      <c r="AU212" s="784"/>
      <c r="AV212" s="856"/>
      <c r="AW212" s="857"/>
      <c r="AX212" s="857"/>
      <c r="AY212" s="857"/>
      <c r="AZ212" s="782"/>
    </row>
    <row r="213" spans="1:56" ht="14.25" x14ac:dyDescent="0.25">
      <c r="A213" s="802">
        <v>32</v>
      </c>
      <c r="B213" s="803">
        <v>2049</v>
      </c>
      <c r="C213" s="836">
        <f>ModeShift!G41</f>
        <v>86514.553829011667</v>
      </c>
      <c r="D213" s="836">
        <f>ModeShift!H41</f>
        <v>736439.06140841765</v>
      </c>
      <c r="E213" s="836">
        <f>ModeShift!I41</f>
        <v>1587.7212547340966</v>
      </c>
      <c r="F213" s="836">
        <f>SUM(ModeShift!K41:N41)</f>
        <v>18113.210088672608</v>
      </c>
      <c r="G213" s="836">
        <f>SUM(C213:F213)</f>
        <v>842654.54658083594</v>
      </c>
      <c r="H213" s="841">
        <f>SUM(C213:F213)/(1+$E$4)^A213</f>
        <v>327233.96742123144</v>
      </c>
      <c r="I213" s="807">
        <f>SUM(C213:F213)/(1+$F$4)^A213</f>
        <v>96687.13297365047</v>
      </c>
      <c r="J213" s="781"/>
      <c r="K213" s="781"/>
      <c r="L213" s="781"/>
      <c r="AO213" s="782"/>
      <c r="AP213" s="783"/>
      <c r="AQ213" s="782"/>
      <c r="AR213" s="782"/>
      <c r="AS213" s="782"/>
      <c r="AU213" s="784"/>
      <c r="AV213" s="856"/>
      <c r="AW213" s="857"/>
      <c r="AX213" s="857"/>
      <c r="AY213" s="857"/>
      <c r="AZ213" s="782"/>
    </row>
    <row r="214" spans="1:56" ht="14.25" x14ac:dyDescent="0.25">
      <c r="A214" s="802">
        <v>33</v>
      </c>
      <c r="B214" s="803">
        <v>2050</v>
      </c>
      <c r="C214" s="836">
        <f>ModeShift!G42</f>
        <v>86514.553829011667</v>
      </c>
      <c r="D214" s="836">
        <f>ModeShift!H42</f>
        <v>736439.06140841765</v>
      </c>
      <c r="E214" s="836">
        <f>ModeShift!I42</f>
        <v>1587.7212547340966</v>
      </c>
      <c r="F214" s="836">
        <f>SUM(ModeShift!K42:N42)</f>
        <v>18113.210088672608</v>
      </c>
      <c r="G214" s="836">
        <f>SUM(C214:F214)</f>
        <v>842654.54658083594</v>
      </c>
      <c r="H214" s="841">
        <f>SUM(C214:F214)/(1+$E$4)^A214</f>
        <v>317702.88099148683</v>
      </c>
      <c r="I214" s="807">
        <f>SUM(C214:F214)/(1+$F$4)^A214</f>
        <v>90361.806517430348</v>
      </c>
      <c r="J214" s="781"/>
      <c r="K214" s="781"/>
      <c r="L214" s="781"/>
      <c r="AO214" s="782"/>
      <c r="AP214" s="783"/>
      <c r="AQ214" s="782"/>
      <c r="AR214" s="782"/>
      <c r="AS214" s="782"/>
      <c r="AU214" s="784"/>
      <c r="AV214" s="856"/>
      <c r="AW214" s="857"/>
      <c r="AX214" s="857"/>
      <c r="AY214" s="857"/>
      <c r="AZ214" s="782"/>
    </row>
    <row r="215" spans="1:56" ht="15" thickBot="1" x14ac:dyDescent="0.3">
      <c r="A215" s="837" t="s">
        <v>387</v>
      </c>
      <c r="B215" s="842"/>
      <c r="C215" s="839">
        <f t="shared" ref="C215:I215" si="32">SUM(C186:C214)</f>
        <v>2227670.1101521933</v>
      </c>
      <c r="D215" s="839">
        <f t="shared" si="32"/>
        <v>18962627.817401171</v>
      </c>
      <c r="E215" s="839">
        <f t="shared" si="32"/>
        <v>40882.360549589037</v>
      </c>
      <c r="F215" s="839">
        <f t="shared" si="32"/>
        <v>397989.99056228873</v>
      </c>
      <c r="G215" s="839">
        <f t="shared" si="32"/>
        <v>21629170.278665241</v>
      </c>
      <c r="H215" s="840">
        <f>SUM(H186:H214)</f>
        <v>12306539.785799488</v>
      </c>
      <c r="I215" s="1066">
        <f>SUM(I186:I214)</f>
        <v>6479134.3785808543</v>
      </c>
      <c r="J215" s="781"/>
      <c r="K215" s="781"/>
      <c r="L215" s="781"/>
      <c r="AO215" s="782"/>
      <c r="AP215" s="783"/>
      <c r="AQ215" s="782"/>
      <c r="AR215" s="782"/>
      <c r="AS215" s="782"/>
      <c r="AU215" s="784"/>
      <c r="AV215" s="856"/>
      <c r="AW215" s="857"/>
      <c r="AX215" s="857"/>
      <c r="AY215" s="857"/>
      <c r="AZ215" s="782"/>
    </row>
    <row r="216" spans="1:56" ht="14.25" x14ac:dyDescent="0.25">
      <c r="BA216" s="856"/>
      <c r="BB216" s="857"/>
      <c r="BC216" s="857"/>
      <c r="BD216" s="857"/>
    </row>
    <row r="217" spans="1:56" ht="15" thickBot="1" x14ac:dyDescent="0.3">
      <c r="A217" s="1170" t="s">
        <v>687</v>
      </c>
      <c r="B217" s="1170"/>
      <c r="C217" s="1170"/>
      <c r="D217" s="1170"/>
      <c r="E217" s="1170"/>
      <c r="BA217" s="856"/>
      <c r="BB217" s="857"/>
      <c r="BC217" s="857"/>
      <c r="BD217" s="857"/>
    </row>
    <row r="218" spans="1:56" ht="14.25" x14ac:dyDescent="0.25">
      <c r="A218" s="785" t="s">
        <v>208</v>
      </c>
      <c r="B218" s="786" t="s">
        <v>206</v>
      </c>
      <c r="C218" s="787" t="s">
        <v>204</v>
      </c>
      <c r="D218" s="787" t="s">
        <v>309</v>
      </c>
      <c r="E218" s="844" t="s">
        <v>310</v>
      </c>
      <c r="BA218" s="856"/>
      <c r="BB218" s="857"/>
      <c r="BC218" s="857"/>
      <c r="BD218" s="857"/>
    </row>
    <row r="219" spans="1:56" ht="45" customHeight="1" x14ac:dyDescent="0.25">
      <c r="A219" s="1165" t="s">
        <v>7</v>
      </c>
      <c r="B219" s="1178" t="s">
        <v>316</v>
      </c>
      <c r="C219" s="930" t="s">
        <v>686</v>
      </c>
      <c r="D219" s="1187" t="s">
        <v>834</v>
      </c>
      <c r="E219" s="1188"/>
      <c r="BA219" s="856"/>
      <c r="BB219" s="857"/>
      <c r="BC219" s="857"/>
      <c r="BD219" s="857"/>
    </row>
    <row r="220" spans="1:56" ht="14.25" x14ac:dyDescent="0.25">
      <c r="A220" s="1166"/>
      <c r="B220" s="1179"/>
      <c r="C220" s="793" t="s">
        <v>386</v>
      </c>
      <c r="D220" s="832">
        <f>3/100</f>
        <v>0.03</v>
      </c>
      <c r="E220" s="795">
        <f>7/100</f>
        <v>7.0000000000000007E-2</v>
      </c>
      <c r="BA220" s="856"/>
      <c r="BB220" s="857"/>
      <c r="BC220" s="857"/>
      <c r="BD220" s="857"/>
    </row>
    <row r="221" spans="1:56" ht="28.5" x14ac:dyDescent="0.25">
      <c r="A221" s="1167"/>
      <c r="B221" s="1180"/>
      <c r="C221" s="926" t="s">
        <v>5</v>
      </c>
      <c r="D221" s="924" t="s">
        <v>422</v>
      </c>
      <c r="E221" s="925" t="s">
        <v>423</v>
      </c>
      <c r="BA221" s="856"/>
      <c r="BB221" s="857"/>
      <c r="BC221" s="857"/>
      <c r="BD221" s="857"/>
    </row>
    <row r="222" spans="1:56" ht="14.25" x14ac:dyDescent="0.25">
      <c r="A222" s="802">
        <v>5</v>
      </c>
      <c r="B222" s="803">
        <v>2022</v>
      </c>
      <c r="C222" s="836">
        <f>TrackRelocation!AN21</f>
        <v>11137.68239970958</v>
      </c>
      <c r="D222" s="841">
        <f t="shared" ref="D222:D224" si="33">C222/(1+$E$4)^A222</f>
        <v>9607.4626756703801</v>
      </c>
      <c r="E222" s="807">
        <f t="shared" ref="E222:E224" si="34">C222/(1+$F$4)^A222</f>
        <v>7941.0136224714288</v>
      </c>
      <c r="G222" s="782" t="s">
        <v>475</v>
      </c>
      <c r="BA222" s="856"/>
      <c r="BB222" s="857"/>
      <c r="BC222" s="857"/>
      <c r="BD222" s="857"/>
    </row>
    <row r="223" spans="1:56" ht="14.25" x14ac:dyDescent="0.25">
      <c r="A223" s="802">
        <v>6</v>
      </c>
      <c r="B223" s="803">
        <v>2023</v>
      </c>
      <c r="C223" s="836">
        <f>TrackRelocation!AN22</f>
        <v>11739.806622285754</v>
      </c>
      <c r="D223" s="841">
        <f t="shared" si="33"/>
        <v>9831.9032226748277</v>
      </c>
      <c r="E223" s="807">
        <f t="shared" si="34"/>
        <v>7822.7288518697096</v>
      </c>
      <c r="BA223" s="856"/>
      <c r="BB223" s="857"/>
      <c r="BC223" s="857"/>
      <c r="BD223" s="857"/>
    </row>
    <row r="224" spans="1:56" ht="14.25" x14ac:dyDescent="0.25">
      <c r="A224" s="802">
        <v>7</v>
      </c>
      <c r="B224" s="803">
        <v>2024</v>
      </c>
      <c r="C224" s="836">
        <f>TrackRelocation!AN23</f>
        <v>11927.229904447211</v>
      </c>
      <c r="D224" s="841">
        <f t="shared" si="33"/>
        <v>9697.9293891466277</v>
      </c>
      <c r="E224" s="807">
        <f t="shared" si="34"/>
        <v>7427.6793443926772</v>
      </c>
      <c r="BA224" s="856"/>
      <c r="BB224" s="857"/>
      <c r="BC224" s="857"/>
      <c r="BD224" s="857"/>
    </row>
    <row r="225" spans="1:56" ht="14.25" x14ac:dyDescent="0.25">
      <c r="A225" s="802">
        <v>8</v>
      </c>
      <c r="B225" s="803">
        <v>2025</v>
      </c>
      <c r="C225" s="836">
        <f>TrackRelocation!AN24</f>
        <v>12183.590485794492</v>
      </c>
      <c r="D225" s="841">
        <f t="shared" ref="D225:D240" si="35">C225/(1+$E$4)^A225</f>
        <v>9617.8388365855826</v>
      </c>
      <c r="E225" s="807">
        <f t="shared" ref="E225:E240" si="36">C225/(1+$F$4)^A225</f>
        <v>7090.9605890243738</v>
      </c>
      <c r="BA225" s="856"/>
      <c r="BB225" s="857"/>
      <c r="BC225" s="857"/>
      <c r="BD225" s="857"/>
    </row>
    <row r="226" spans="1:56" ht="14.25" x14ac:dyDescent="0.25">
      <c r="A226" s="802">
        <v>9</v>
      </c>
      <c r="B226" s="803">
        <v>2026</v>
      </c>
      <c r="C226" s="836">
        <f>TrackRelocation!AN25</f>
        <v>12610.678597156661</v>
      </c>
      <c r="D226" s="841">
        <f t="shared" si="35"/>
        <v>9665.035083068522</v>
      </c>
      <c r="E226" s="807">
        <f t="shared" si="36"/>
        <v>6859.3736058772356</v>
      </c>
      <c r="BA226" s="856"/>
      <c r="BB226" s="857"/>
      <c r="BC226" s="857"/>
      <c r="BD226" s="857"/>
    </row>
    <row r="227" spans="1:56" ht="14.25" x14ac:dyDescent="0.25">
      <c r="A227" s="802">
        <v>10</v>
      </c>
      <c r="B227" s="803">
        <v>2027</v>
      </c>
      <c r="C227" s="836">
        <f>TrackRelocation!AN26</f>
        <v>12891.274947748958</v>
      </c>
      <c r="D227" s="841">
        <f t="shared" si="35"/>
        <v>9592.3192438805982</v>
      </c>
      <c r="E227" s="807">
        <f t="shared" si="36"/>
        <v>6553.2704944022034</v>
      </c>
      <c r="BA227" s="856"/>
      <c r="BB227" s="857"/>
      <c r="BC227" s="857"/>
      <c r="BD227" s="857"/>
    </row>
    <row r="228" spans="1:56" ht="14.25" x14ac:dyDescent="0.25">
      <c r="A228" s="802">
        <v>11</v>
      </c>
      <c r="B228" s="803">
        <v>2028</v>
      </c>
      <c r="C228" s="836">
        <f>TrackRelocation!AN27</f>
        <v>11803.358194972685</v>
      </c>
      <c r="D228" s="841">
        <f t="shared" si="35"/>
        <v>8526.9970953646298</v>
      </c>
      <c r="E228" s="807">
        <f t="shared" si="36"/>
        <v>5607.6904516139102</v>
      </c>
      <c r="BA228" s="856"/>
      <c r="BB228" s="857"/>
      <c r="BC228" s="857"/>
      <c r="BD228" s="857"/>
    </row>
    <row r="229" spans="1:56" ht="14.25" x14ac:dyDescent="0.25">
      <c r="A229" s="802">
        <v>12</v>
      </c>
      <c r="B229" s="803">
        <v>2029</v>
      </c>
      <c r="C229" s="836">
        <f>TrackRelocation!AN28</f>
        <v>13267.737230021541</v>
      </c>
      <c r="D229" s="841">
        <f t="shared" si="35"/>
        <v>9305.7239488243595</v>
      </c>
      <c r="E229" s="807">
        <f t="shared" si="36"/>
        <v>5891.0340021931106</v>
      </c>
      <c r="BA229" s="856"/>
      <c r="BB229" s="857"/>
      <c r="BC229" s="857"/>
      <c r="BD229" s="857"/>
    </row>
    <row r="230" spans="1:56" ht="14.25" x14ac:dyDescent="0.25">
      <c r="A230" s="802">
        <v>13</v>
      </c>
      <c r="B230" s="803">
        <v>2030</v>
      </c>
      <c r="C230" s="836">
        <f>TrackRelocation!AN29</f>
        <v>13622.118033648665</v>
      </c>
      <c r="D230" s="841">
        <f t="shared" si="35"/>
        <v>9275.9995285582918</v>
      </c>
      <c r="E230" s="807">
        <f t="shared" si="36"/>
        <v>5652.6946889055098</v>
      </c>
      <c r="BA230" s="856"/>
      <c r="BB230" s="857"/>
      <c r="BC230" s="857"/>
      <c r="BD230" s="857"/>
    </row>
    <row r="231" spans="1:56" ht="14.25" x14ac:dyDescent="0.25">
      <c r="A231" s="802">
        <v>14</v>
      </c>
      <c r="B231" s="803">
        <v>2031</v>
      </c>
      <c r="C231" s="836">
        <f>TrackRelocation!AN30</f>
        <v>13754.606905521419</v>
      </c>
      <c r="D231" s="841">
        <f t="shared" si="35"/>
        <v>9093.4155372759487</v>
      </c>
      <c r="E231" s="807">
        <f t="shared" si="36"/>
        <v>5334.2737013771621</v>
      </c>
      <c r="BA231" s="856"/>
      <c r="BB231" s="857"/>
      <c r="BC231" s="857"/>
      <c r="BD231" s="857"/>
    </row>
    <row r="232" spans="1:56" ht="14.25" x14ac:dyDescent="0.25">
      <c r="A232" s="802">
        <v>15</v>
      </c>
      <c r="B232" s="803">
        <v>2032</v>
      </c>
      <c r="C232" s="836">
        <f>TrackRelocation!AN31</f>
        <v>13950.647350081104</v>
      </c>
      <c r="D232" s="841">
        <f t="shared" si="35"/>
        <v>8954.3896755679161</v>
      </c>
      <c r="E232" s="807">
        <f t="shared" si="36"/>
        <v>5056.3566034711284</v>
      </c>
      <c r="BA232" s="856"/>
      <c r="BB232" s="857"/>
      <c r="BC232" s="857"/>
      <c r="BD232" s="857"/>
    </row>
    <row r="233" spans="1:56" ht="14.25" x14ac:dyDescent="0.25">
      <c r="A233" s="802">
        <v>16</v>
      </c>
      <c r="B233" s="803">
        <v>2033</v>
      </c>
      <c r="C233" s="836">
        <f>TrackRelocation!AN32</f>
        <v>13950.647350081104</v>
      </c>
      <c r="D233" s="841">
        <f t="shared" si="35"/>
        <v>8693.5822092892413</v>
      </c>
      <c r="E233" s="807">
        <f t="shared" si="36"/>
        <v>4725.5669191318966</v>
      </c>
      <c r="BA233" s="856"/>
      <c r="BB233" s="857"/>
      <c r="BC233" s="857"/>
      <c r="BD233" s="857"/>
    </row>
    <row r="234" spans="1:56" ht="14.25" x14ac:dyDescent="0.25">
      <c r="A234" s="802">
        <v>17</v>
      </c>
      <c r="B234" s="803">
        <v>2034</v>
      </c>
      <c r="C234" s="836">
        <f>TrackRelocation!AN33</f>
        <v>14310.413880207119</v>
      </c>
      <c r="D234" s="841">
        <f t="shared" si="35"/>
        <v>8658.0357443705925</v>
      </c>
      <c r="E234" s="807">
        <f t="shared" si="36"/>
        <v>4530.3105514157105</v>
      </c>
      <c r="BA234" s="856"/>
      <c r="BB234" s="857"/>
      <c r="BC234" s="857"/>
      <c r="BD234" s="857"/>
    </row>
    <row r="235" spans="1:56" ht="14.25" x14ac:dyDescent="0.25">
      <c r="A235" s="802">
        <v>18</v>
      </c>
      <c r="B235" s="803">
        <v>2035</v>
      </c>
      <c r="C235" s="836">
        <f>TrackRelocation!AN34</f>
        <v>14310.413880207119</v>
      </c>
      <c r="D235" s="841">
        <f t="shared" si="35"/>
        <v>8405.8599459908673</v>
      </c>
      <c r="E235" s="807">
        <f t="shared" si="36"/>
        <v>4233.9350947810372</v>
      </c>
      <c r="BA235" s="856"/>
      <c r="BB235" s="857"/>
      <c r="BC235" s="857"/>
      <c r="BD235" s="857"/>
    </row>
    <row r="236" spans="1:56" ht="14.25" x14ac:dyDescent="0.25">
      <c r="A236" s="802">
        <v>19</v>
      </c>
      <c r="B236" s="803">
        <v>2036</v>
      </c>
      <c r="C236" s="836">
        <f>TrackRelocation!AN35</f>
        <v>14450.442769178322</v>
      </c>
      <c r="D236" s="841">
        <f t="shared" si="35"/>
        <v>8240.8855925078169</v>
      </c>
      <c r="E236" s="807">
        <f t="shared" si="36"/>
        <v>3995.6678413740369</v>
      </c>
      <c r="BA236" s="856"/>
      <c r="BB236" s="857"/>
      <c r="BC236" s="857"/>
      <c r="BD236" s="857"/>
    </row>
    <row r="237" spans="1:56" ht="14.25" x14ac:dyDescent="0.25">
      <c r="A237" s="802">
        <v>20</v>
      </c>
      <c r="B237" s="803">
        <v>2037</v>
      </c>
      <c r="C237" s="836">
        <f>TrackRelocation!AN36</f>
        <v>14310.413880207119</v>
      </c>
      <c r="D237" s="841">
        <f t="shared" si="35"/>
        <v>7923.3291978422731</v>
      </c>
      <c r="E237" s="807">
        <f t="shared" si="36"/>
        <v>3698.0828847768694</v>
      </c>
      <c r="BA237" s="856"/>
      <c r="BB237" s="857"/>
      <c r="BC237" s="857"/>
      <c r="BD237" s="857"/>
    </row>
    <row r="238" spans="1:56" ht="14.25" x14ac:dyDescent="0.25">
      <c r="A238" s="802">
        <v>21</v>
      </c>
      <c r="B238" s="803">
        <v>2038</v>
      </c>
      <c r="C238" s="836">
        <f>TrackRelocation!AN37</f>
        <v>14758.50632491497</v>
      </c>
      <c r="D238" s="841">
        <f t="shared" si="35"/>
        <v>7933.4243884573707</v>
      </c>
      <c r="E238" s="807">
        <f t="shared" si="36"/>
        <v>3564.3724182305609</v>
      </c>
      <c r="BA238" s="856"/>
      <c r="BB238" s="857"/>
      <c r="BC238" s="857"/>
      <c r="BD238" s="857"/>
    </row>
    <row r="239" spans="1:56" ht="14.25" x14ac:dyDescent="0.25">
      <c r="A239" s="802">
        <v>22</v>
      </c>
      <c r="B239" s="803">
        <v>2039</v>
      </c>
      <c r="C239" s="836">
        <f>TrackRelocation!AN38</f>
        <v>15112.887128542092</v>
      </c>
      <c r="D239" s="841">
        <f t="shared" si="35"/>
        <v>7887.3024590710693</v>
      </c>
      <c r="E239" s="807">
        <f t="shared" si="36"/>
        <v>3411.1775887819012</v>
      </c>
      <c r="BA239" s="856"/>
      <c r="BB239" s="857"/>
      <c r="BC239" s="857"/>
      <c r="BD239" s="857"/>
    </row>
    <row r="240" spans="1:56" ht="14.25" x14ac:dyDescent="0.25">
      <c r="A240" s="802">
        <v>23</v>
      </c>
      <c r="B240" s="803">
        <v>2040</v>
      </c>
      <c r="C240" s="836">
        <f>TrackRelocation!AN39</f>
        <v>15112.887128542092</v>
      </c>
      <c r="D240" s="841">
        <f t="shared" si="35"/>
        <v>7657.5752029816204</v>
      </c>
      <c r="E240" s="807">
        <f t="shared" si="36"/>
        <v>3188.0164381139261</v>
      </c>
      <c r="BA240" s="856"/>
      <c r="BB240" s="857"/>
      <c r="BC240" s="857"/>
      <c r="BD240" s="857"/>
    </row>
    <row r="241" spans="1:56" ht="14.25" x14ac:dyDescent="0.25">
      <c r="A241" s="802">
        <v>24</v>
      </c>
      <c r="B241" s="803">
        <v>2041</v>
      </c>
      <c r="C241" s="836">
        <f>TrackRelocation!AN40</f>
        <v>15112.887128542092</v>
      </c>
      <c r="D241" s="841">
        <f t="shared" ref="D241:D250" si="37">C241/(1+$E$4)^A241</f>
        <v>7434.5390320209917</v>
      </c>
      <c r="E241" s="807">
        <f t="shared" ref="E241:E250" si="38">C241/(1+$F$4)^A241</f>
        <v>2979.4546150597439</v>
      </c>
      <c r="BA241" s="856"/>
      <c r="BB241" s="857"/>
      <c r="BC241" s="857"/>
      <c r="BD241" s="857"/>
    </row>
    <row r="242" spans="1:56" ht="14.25" x14ac:dyDescent="0.25">
      <c r="A242" s="802">
        <v>25</v>
      </c>
      <c r="B242" s="803">
        <v>2042</v>
      </c>
      <c r="C242" s="836">
        <f>TrackRelocation!AN41</f>
        <v>15112.887128542092</v>
      </c>
      <c r="D242" s="841">
        <f t="shared" si="37"/>
        <v>7217.9990602145554</v>
      </c>
      <c r="E242" s="807">
        <f t="shared" si="38"/>
        <v>2784.5370234203215</v>
      </c>
      <c r="BA242" s="856"/>
      <c r="BB242" s="857"/>
      <c r="BC242" s="857"/>
      <c r="BD242" s="857"/>
    </row>
    <row r="243" spans="1:56" ht="14.25" x14ac:dyDescent="0.25">
      <c r="A243" s="802">
        <v>26</v>
      </c>
      <c r="B243" s="803">
        <v>2043</v>
      </c>
      <c r="C243" s="836">
        <f>TrackRelocation!AN42</f>
        <v>15112.887128542092</v>
      </c>
      <c r="D243" s="841">
        <f t="shared" si="37"/>
        <v>7007.7660778782074</v>
      </c>
      <c r="E243" s="807">
        <f t="shared" si="38"/>
        <v>2602.3710499255344</v>
      </c>
      <c r="BA243" s="856"/>
      <c r="BB243" s="857"/>
      <c r="BC243" s="857"/>
      <c r="BD243" s="857"/>
    </row>
    <row r="244" spans="1:56" ht="14.25" x14ac:dyDescent="0.25">
      <c r="A244" s="802">
        <v>27</v>
      </c>
      <c r="B244" s="803">
        <v>2044</v>
      </c>
      <c r="C244" s="836">
        <f>TrackRelocation!AN43</f>
        <v>15112.887128542092</v>
      </c>
      <c r="D244" s="841">
        <f t="shared" si="37"/>
        <v>6803.6563862895227</v>
      </c>
      <c r="E244" s="807">
        <f t="shared" si="38"/>
        <v>2432.1224765659194</v>
      </c>
      <c r="BA244" s="856"/>
      <c r="BB244" s="857"/>
      <c r="BC244" s="857"/>
      <c r="BD244" s="857"/>
    </row>
    <row r="245" spans="1:56" ht="14.25" x14ac:dyDescent="0.25">
      <c r="A245" s="802">
        <v>28</v>
      </c>
      <c r="B245" s="803">
        <v>2045</v>
      </c>
      <c r="C245" s="836">
        <f>TrackRelocation!AN44</f>
        <v>15112.887128542092</v>
      </c>
      <c r="D245" s="841">
        <f t="shared" si="37"/>
        <v>6605.4916371742938</v>
      </c>
      <c r="E245" s="807">
        <f t="shared" si="38"/>
        <v>2273.011660341981</v>
      </c>
      <c r="BA245" s="856"/>
      <c r="BB245" s="857"/>
      <c r="BC245" s="857"/>
      <c r="BD245" s="857"/>
    </row>
    <row r="246" spans="1:56" ht="14.25" x14ac:dyDescent="0.25">
      <c r="A246" s="802">
        <v>29</v>
      </c>
      <c r="B246" s="803">
        <v>2046</v>
      </c>
      <c r="C246" s="836">
        <f>TrackRelocation!AN45</f>
        <v>15112.887128542092</v>
      </c>
      <c r="D246" s="841">
        <f t="shared" si="37"/>
        <v>6413.0986768682469</v>
      </c>
      <c r="E246" s="807">
        <f t="shared" si="38"/>
        <v>2124.309962936431</v>
      </c>
      <c r="BA246" s="856"/>
      <c r="BB246" s="857"/>
      <c r="BC246" s="857"/>
      <c r="BD246" s="857"/>
    </row>
    <row r="247" spans="1:56" ht="14.25" x14ac:dyDescent="0.25">
      <c r="A247" s="802">
        <v>30</v>
      </c>
      <c r="B247" s="803">
        <v>2047</v>
      </c>
      <c r="C247" s="836">
        <f>TrackRelocation!AN46</f>
        <v>15112.887128542092</v>
      </c>
      <c r="D247" s="841">
        <f t="shared" si="37"/>
        <v>6226.3093950177154</v>
      </c>
      <c r="E247" s="807">
        <f t="shared" si="38"/>
        <v>1985.3364139592813</v>
      </c>
      <c r="BA247" s="856"/>
      <c r="BB247" s="857"/>
      <c r="BC247" s="857"/>
      <c r="BD247" s="857"/>
    </row>
    <row r="248" spans="1:56" ht="14.25" x14ac:dyDescent="0.25">
      <c r="A248" s="802">
        <v>31</v>
      </c>
      <c r="B248" s="803">
        <v>2048</v>
      </c>
      <c r="C248" s="836">
        <f>TrackRelocation!AN47</f>
        <v>15112.887128542092</v>
      </c>
      <c r="D248" s="841">
        <f t="shared" si="37"/>
        <v>6044.9605776871012</v>
      </c>
      <c r="E248" s="807">
        <f t="shared" si="38"/>
        <v>1855.4545924853094</v>
      </c>
      <c r="BA248" s="856"/>
      <c r="BB248" s="857"/>
      <c r="BC248" s="857"/>
      <c r="BD248" s="857"/>
    </row>
    <row r="249" spans="1:56" ht="14.25" x14ac:dyDescent="0.25">
      <c r="A249" s="802">
        <v>32</v>
      </c>
      <c r="B249" s="803">
        <v>2049</v>
      </c>
      <c r="C249" s="836">
        <f>TrackRelocation!AN48</f>
        <v>15112.887128542092</v>
      </c>
      <c r="D249" s="841">
        <f t="shared" si="37"/>
        <v>5868.8937647447601</v>
      </c>
      <c r="E249" s="807">
        <f t="shared" si="38"/>
        <v>1734.069712603093</v>
      </c>
      <c r="BA249" s="856"/>
      <c r="BB249" s="857"/>
      <c r="BC249" s="857"/>
      <c r="BD249" s="857"/>
    </row>
    <row r="250" spans="1:56" ht="14.25" x14ac:dyDescent="0.25">
      <c r="A250" s="802">
        <v>33</v>
      </c>
      <c r="B250" s="803">
        <v>2050</v>
      </c>
      <c r="C250" s="836">
        <f>TrackRelocation!AN49</f>
        <v>15112.887128542092</v>
      </c>
      <c r="D250" s="841">
        <f t="shared" si="37"/>
        <v>5697.955111402679</v>
      </c>
      <c r="E250" s="807">
        <f t="shared" si="38"/>
        <v>1620.6258996290587</v>
      </c>
      <c r="BA250" s="856"/>
      <c r="BB250" s="857"/>
      <c r="BC250" s="857"/>
      <c r="BD250" s="857"/>
    </row>
    <row r="251" spans="1:56" ht="15" thickBot="1" x14ac:dyDescent="0.3">
      <c r="A251" s="837" t="s">
        <v>387</v>
      </c>
      <c r="B251" s="842"/>
      <c r="C251" s="839">
        <f>SUM(C222:C250)</f>
        <v>406334.21429868916</v>
      </c>
      <c r="D251" s="840">
        <f>SUM(D222:D250)</f>
        <v>233889.67869642662</v>
      </c>
      <c r="E251" s="840">
        <f>SUM(E222:E250)</f>
        <v>124975.49909913105</v>
      </c>
      <c r="BA251" s="856"/>
      <c r="BB251" s="857"/>
      <c r="BC251" s="857"/>
      <c r="BD251" s="857"/>
    </row>
    <row r="252" spans="1:56" ht="14.25" x14ac:dyDescent="0.25">
      <c r="BA252" s="856"/>
      <c r="BB252" s="857"/>
      <c r="BC252" s="857"/>
      <c r="BD252" s="857"/>
    </row>
    <row r="253" spans="1:56" ht="15" thickBot="1" x14ac:dyDescent="0.3">
      <c r="A253" s="1170" t="s">
        <v>688</v>
      </c>
      <c r="B253" s="1170"/>
      <c r="C253" s="1170"/>
      <c r="D253" s="1170"/>
      <c r="E253" s="1170"/>
      <c r="BA253" s="856"/>
      <c r="BB253" s="857"/>
      <c r="BC253" s="857"/>
      <c r="BD253" s="857"/>
    </row>
    <row r="254" spans="1:56" ht="14.25" x14ac:dyDescent="0.25">
      <c r="A254" s="785" t="s">
        <v>208</v>
      </c>
      <c r="B254" s="786" t="s">
        <v>206</v>
      </c>
      <c r="C254" s="787" t="s">
        <v>204</v>
      </c>
      <c r="D254" s="787" t="s">
        <v>309</v>
      </c>
      <c r="E254" s="844" t="s">
        <v>310</v>
      </c>
      <c r="BA254" s="856"/>
      <c r="BB254" s="857"/>
      <c r="BC254" s="857"/>
      <c r="BD254" s="857"/>
    </row>
    <row r="255" spans="1:56" ht="53.25" customHeight="1" x14ac:dyDescent="0.25">
      <c r="A255" s="1165" t="s">
        <v>7</v>
      </c>
      <c r="B255" s="1178" t="s">
        <v>316</v>
      </c>
      <c r="C255" s="930" t="s">
        <v>829</v>
      </c>
      <c r="D255" s="1187" t="s">
        <v>830</v>
      </c>
      <c r="E255" s="1188"/>
      <c r="BA255" s="856"/>
      <c r="BB255" s="857"/>
      <c r="BC255" s="857"/>
      <c r="BD255" s="857"/>
    </row>
    <row r="256" spans="1:56" ht="14.25" x14ac:dyDescent="0.25">
      <c r="A256" s="1166"/>
      <c r="B256" s="1179"/>
      <c r="C256" s="793" t="s">
        <v>386</v>
      </c>
      <c r="D256" s="832">
        <f>3/100</f>
        <v>0.03</v>
      </c>
      <c r="E256" s="795">
        <f>7/100</f>
        <v>7.0000000000000007E-2</v>
      </c>
      <c r="BA256" s="856"/>
      <c r="BB256" s="857"/>
      <c r="BC256" s="857"/>
      <c r="BD256" s="857"/>
    </row>
    <row r="257" spans="1:56" ht="28.5" x14ac:dyDescent="0.25">
      <c r="A257" s="1167"/>
      <c r="B257" s="1180"/>
      <c r="C257" s="926" t="s">
        <v>5</v>
      </c>
      <c r="D257" s="924" t="s">
        <v>422</v>
      </c>
      <c r="E257" s="925" t="s">
        <v>423</v>
      </c>
      <c r="BA257" s="856"/>
      <c r="BB257" s="857"/>
      <c r="BC257" s="857"/>
      <c r="BD257" s="857"/>
    </row>
    <row r="258" spans="1:56" ht="14.25" x14ac:dyDescent="0.25">
      <c r="A258" s="802">
        <v>0</v>
      </c>
      <c r="B258" s="803">
        <v>2017</v>
      </c>
      <c r="C258" s="836">
        <f>'O&amp;M'!C6</f>
        <v>243498.91</v>
      </c>
      <c r="D258" s="841">
        <f t="shared" ref="D258" si="39">C258/(1+$E$4)^A258</f>
        <v>243498.91</v>
      </c>
      <c r="E258" s="807">
        <f t="shared" ref="E258" si="40">C258/(1+$F$4)^A258</f>
        <v>243498.91</v>
      </c>
      <c r="BA258" s="856"/>
      <c r="BB258" s="857"/>
      <c r="BC258" s="857"/>
      <c r="BD258" s="857"/>
    </row>
    <row r="259" spans="1:56" ht="14.25" x14ac:dyDescent="0.25">
      <c r="A259" s="802">
        <v>1</v>
      </c>
      <c r="B259" s="803">
        <f>B258+1</f>
        <v>2018</v>
      </c>
      <c r="C259" s="836">
        <f>'O&amp;M'!C7</f>
        <v>0</v>
      </c>
      <c r="D259" s="841">
        <f t="shared" ref="D259:D281" si="41">C259/(1+$E$4)^A259</f>
        <v>0</v>
      </c>
      <c r="E259" s="807">
        <f t="shared" ref="E259:E281" si="42">C259/(1+$F$4)^A259</f>
        <v>0</v>
      </c>
      <c r="BA259" s="856"/>
      <c r="BB259" s="857"/>
      <c r="BC259" s="857"/>
      <c r="BD259" s="857"/>
    </row>
    <row r="260" spans="1:56" ht="14.25" x14ac:dyDescent="0.25">
      <c r="A260" s="802">
        <v>2</v>
      </c>
      <c r="B260" s="803">
        <f t="shared" ref="B260:B291" si="43">B259+1</f>
        <v>2019</v>
      </c>
      <c r="C260" s="836">
        <f>'O&amp;M'!C8</f>
        <v>0</v>
      </c>
      <c r="D260" s="841">
        <f t="shared" si="41"/>
        <v>0</v>
      </c>
      <c r="E260" s="807">
        <f t="shared" si="42"/>
        <v>0</v>
      </c>
      <c r="BA260" s="856"/>
      <c r="BB260" s="857"/>
      <c r="BC260" s="857"/>
      <c r="BD260" s="857"/>
    </row>
    <row r="261" spans="1:56" ht="14.25" x14ac:dyDescent="0.25">
      <c r="A261" s="802">
        <v>3</v>
      </c>
      <c r="B261" s="803">
        <f t="shared" si="43"/>
        <v>2020</v>
      </c>
      <c r="C261" s="836">
        <f>'O&amp;M'!C9</f>
        <v>0</v>
      </c>
      <c r="D261" s="841">
        <f t="shared" si="41"/>
        <v>0</v>
      </c>
      <c r="E261" s="807">
        <f t="shared" si="42"/>
        <v>0</v>
      </c>
      <c r="BA261" s="856"/>
      <c r="BB261" s="857"/>
      <c r="BC261" s="857"/>
      <c r="BD261" s="857"/>
    </row>
    <row r="262" spans="1:56" ht="14.25" x14ac:dyDescent="0.25">
      <c r="A262" s="802">
        <v>4</v>
      </c>
      <c r="B262" s="803">
        <f t="shared" si="43"/>
        <v>2021</v>
      </c>
      <c r="C262" s="836">
        <f>'O&amp;M'!C10</f>
        <v>0</v>
      </c>
      <c r="D262" s="841">
        <f t="shared" si="41"/>
        <v>0</v>
      </c>
      <c r="E262" s="807">
        <f t="shared" si="42"/>
        <v>0</v>
      </c>
      <c r="BA262" s="856"/>
      <c r="BB262" s="857"/>
      <c r="BC262" s="857"/>
      <c r="BD262" s="857"/>
    </row>
    <row r="263" spans="1:56" ht="14.25" x14ac:dyDescent="0.25">
      <c r="A263" s="802">
        <v>5</v>
      </c>
      <c r="B263" s="803">
        <f t="shared" si="43"/>
        <v>2022</v>
      </c>
      <c r="C263" s="836">
        <f>'O&amp;M'!C11</f>
        <v>0</v>
      </c>
      <c r="D263" s="841">
        <f t="shared" si="41"/>
        <v>0</v>
      </c>
      <c r="E263" s="807">
        <f t="shared" si="42"/>
        <v>0</v>
      </c>
      <c r="BA263" s="856"/>
      <c r="BB263" s="857"/>
      <c r="BC263" s="857"/>
      <c r="BD263" s="857"/>
    </row>
    <row r="264" spans="1:56" ht="14.25" x14ac:dyDescent="0.25">
      <c r="A264" s="802">
        <v>6</v>
      </c>
      <c r="B264" s="803">
        <f t="shared" si="43"/>
        <v>2023</v>
      </c>
      <c r="C264" s="836">
        <f>'O&amp;M'!C12</f>
        <v>0</v>
      </c>
      <c r="D264" s="841">
        <f t="shared" si="41"/>
        <v>0</v>
      </c>
      <c r="E264" s="807">
        <f t="shared" si="42"/>
        <v>0</v>
      </c>
      <c r="BA264" s="856"/>
      <c r="BB264" s="857"/>
      <c r="BC264" s="857"/>
      <c r="BD264" s="857"/>
    </row>
    <row r="265" spans="1:56" ht="14.25" x14ac:dyDescent="0.25">
      <c r="A265" s="802">
        <v>7</v>
      </c>
      <c r="B265" s="803">
        <f t="shared" si="43"/>
        <v>2024</v>
      </c>
      <c r="C265" s="836">
        <f>'O&amp;M'!C13</f>
        <v>0</v>
      </c>
      <c r="D265" s="841">
        <f t="shared" si="41"/>
        <v>0</v>
      </c>
      <c r="E265" s="807">
        <f t="shared" si="42"/>
        <v>0</v>
      </c>
      <c r="BA265" s="856"/>
      <c r="BB265" s="857"/>
      <c r="BC265" s="857"/>
      <c r="BD265" s="857"/>
    </row>
    <row r="266" spans="1:56" ht="14.25" x14ac:dyDescent="0.25">
      <c r="A266" s="802">
        <v>8</v>
      </c>
      <c r="B266" s="803">
        <f t="shared" si="43"/>
        <v>2025</v>
      </c>
      <c r="C266" s="836">
        <f>'O&amp;M'!C14</f>
        <v>0</v>
      </c>
      <c r="D266" s="841">
        <f t="shared" si="41"/>
        <v>0</v>
      </c>
      <c r="E266" s="807">
        <f t="shared" si="42"/>
        <v>0</v>
      </c>
      <c r="BA266" s="856"/>
      <c r="BB266" s="857"/>
      <c r="BC266" s="857"/>
      <c r="BD266" s="857"/>
    </row>
    <row r="267" spans="1:56" ht="14.25" x14ac:dyDescent="0.25">
      <c r="A267" s="802">
        <v>9</v>
      </c>
      <c r="B267" s="803">
        <f t="shared" si="43"/>
        <v>2026</v>
      </c>
      <c r="C267" s="836">
        <f>'O&amp;M'!C15</f>
        <v>0</v>
      </c>
      <c r="D267" s="841">
        <f t="shared" si="41"/>
        <v>0</v>
      </c>
      <c r="E267" s="807">
        <f t="shared" si="42"/>
        <v>0</v>
      </c>
      <c r="BA267" s="856"/>
      <c r="BB267" s="857"/>
      <c r="BC267" s="857"/>
      <c r="BD267" s="857"/>
    </row>
    <row r="268" spans="1:56" ht="14.25" x14ac:dyDescent="0.25">
      <c r="A268" s="802">
        <v>10</v>
      </c>
      <c r="B268" s="803">
        <f t="shared" si="43"/>
        <v>2027</v>
      </c>
      <c r="C268" s="836">
        <f>'O&amp;M'!C16</f>
        <v>0</v>
      </c>
      <c r="D268" s="841">
        <f t="shared" si="41"/>
        <v>0</v>
      </c>
      <c r="E268" s="807">
        <f t="shared" si="42"/>
        <v>0</v>
      </c>
      <c r="BA268" s="856"/>
      <c r="BB268" s="857"/>
      <c r="BC268" s="857"/>
      <c r="BD268" s="857"/>
    </row>
    <row r="269" spans="1:56" ht="14.25" x14ac:dyDescent="0.25">
      <c r="A269" s="802">
        <v>11</v>
      </c>
      <c r="B269" s="803">
        <f t="shared" si="43"/>
        <v>2028</v>
      </c>
      <c r="C269" s="836">
        <f>'O&amp;M'!C17</f>
        <v>0</v>
      </c>
      <c r="D269" s="841">
        <f t="shared" si="41"/>
        <v>0</v>
      </c>
      <c r="E269" s="807">
        <f t="shared" si="42"/>
        <v>0</v>
      </c>
      <c r="BA269" s="856"/>
      <c r="BB269" s="857"/>
      <c r="BC269" s="857"/>
      <c r="BD269" s="857"/>
    </row>
    <row r="270" spans="1:56" ht="14.25" x14ac:dyDescent="0.25">
      <c r="A270" s="802">
        <v>12</v>
      </c>
      <c r="B270" s="803">
        <f t="shared" si="43"/>
        <v>2029</v>
      </c>
      <c r="C270" s="836">
        <f>'O&amp;M'!C18</f>
        <v>0</v>
      </c>
      <c r="D270" s="841">
        <f t="shared" si="41"/>
        <v>0</v>
      </c>
      <c r="E270" s="807">
        <f t="shared" si="42"/>
        <v>0</v>
      </c>
      <c r="BA270" s="856"/>
      <c r="BB270" s="857"/>
      <c r="BC270" s="857"/>
      <c r="BD270" s="857"/>
    </row>
    <row r="271" spans="1:56" ht="14.25" x14ac:dyDescent="0.25">
      <c r="A271" s="802">
        <v>13</v>
      </c>
      <c r="B271" s="803">
        <f t="shared" si="43"/>
        <v>2030</v>
      </c>
      <c r="C271" s="836">
        <f>'O&amp;M'!C19</f>
        <v>0</v>
      </c>
      <c r="D271" s="841">
        <f t="shared" si="41"/>
        <v>0</v>
      </c>
      <c r="E271" s="807">
        <f t="shared" si="42"/>
        <v>0</v>
      </c>
      <c r="BA271" s="856"/>
      <c r="BB271" s="857"/>
      <c r="BC271" s="857"/>
      <c r="BD271" s="857"/>
    </row>
    <row r="272" spans="1:56" ht="14.25" x14ac:dyDescent="0.25">
      <c r="A272" s="802">
        <v>14</v>
      </c>
      <c r="B272" s="803">
        <f t="shared" si="43"/>
        <v>2031</v>
      </c>
      <c r="C272" s="836">
        <f>'O&amp;M'!C20</f>
        <v>0</v>
      </c>
      <c r="D272" s="841">
        <f t="shared" si="41"/>
        <v>0</v>
      </c>
      <c r="E272" s="807">
        <f t="shared" si="42"/>
        <v>0</v>
      </c>
      <c r="BA272" s="856"/>
      <c r="BB272" s="857"/>
      <c r="BC272" s="857"/>
      <c r="BD272" s="857"/>
    </row>
    <row r="273" spans="1:56" ht="14.25" x14ac:dyDescent="0.25">
      <c r="A273" s="802">
        <v>15</v>
      </c>
      <c r="B273" s="803">
        <f t="shared" si="43"/>
        <v>2032</v>
      </c>
      <c r="C273" s="836">
        <f>'O&amp;M'!C21</f>
        <v>243498.91</v>
      </c>
      <c r="D273" s="841">
        <f t="shared" si="41"/>
        <v>156292.68456157809</v>
      </c>
      <c r="E273" s="807">
        <f t="shared" si="42"/>
        <v>88255.210716753165</v>
      </c>
      <c r="BA273" s="856"/>
      <c r="BB273" s="857"/>
      <c r="BC273" s="857"/>
      <c r="BD273" s="857"/>
    </row>
    <row r="274" spans="1:56" ht="14.25" x14ac:dyDescent="0.25">
      <c r="A274" s="802">
        <v>16</v>
      </c>
      <c r="B274" s="803">
        <f t="shared" si="43"/>
        <v>2033</v>
      </c>
      <c r="C274" s="836">
        <f>'O&amp;M'!C22</f>
        <v>0</v>
      </c>
      <c r="D274" s="841">
        <f t="shared" si="41"/>
        <v>0</v>
      </c>
      <c r="E274" s="807">
        <f t="shared" si="42"/>
        <v>0</v>
      </c>
      <c r="BA274" s="856"/>
      <c r="BB274" s="857"/>
      <c r="BC274" s="857"/>
      <c r="BD274" s="857"/>
    </row>
    <row r="275" spans="1:56" ht="14.25" x14ac:dyDescent="0.25">
      <c r="A275" s="802">
        <v>17</v>
      </c>
      <c r="B275" s="803">
        <f t="shared" si="43"/>
        <v>2034</v>
      </c>
      <c r="C275" s="836">
        <f>'O&amp;M'!C23</f>
        <v>0</v>
      </c>
      <c r="D275" s="841">
        <f t="shared" si="41"/>
        <v>0</v>
      </c>
      <c r="E275" s="807">
        <f t="shared" si="42"/>
        <v>0</v>
      </c>
      <c r="BA275" s="856"/>
      <c r="BB275" s="857"/>
      <c r="BC275" s="857"/>
      <c r="BD275" s="857"/>
    </row>
    <row r="276" spans="1:56" ht="14.25" x14ac:dyDescent="0.25">
      <c r="A276" s="802">
        <v>18</v>
      </c>
      <c r="B276" s="803">
        <f t="shared" si="43"/>
        <v>2035</v>
      </c>
      <c r="C276" s="836">
        <f>'O&amp;M'!C24</f>
        <v>0</v>
      </c>
      <c r="D276" s="841">
        <f t="shared" si="41"/>
        <v>0</v>
      </c>
      <c r="E276" s="807">
        <f t="shared" si="42"/>
        <v>0</v>
      </c>
      <c r="BA276" s="856"/>
      <c r="BB276" s="857"/>
      <c r="BC276" s="857"/>
      <c r="BD276" s="857"/>
    </row>
    <row r="277" spans="1:56" ht="14.25" x14ac:dyDescent="0.25">
      <c r="A277" s="802">
        <v>19</v>
      </c>
      <c r="B277" s="803">
        <f t="shared" si="43"/>
        <v>2036</v>
      </c>
      <c r="C277" s="836">
        <f>'O&amp;M'!C25</f>
        <v>0</v>
      </c>
      <c r="D277" s="841">
        <f t="shared" si="41"/>
        <v>0</v>
      </c>
      <c r="E277" s="807">
        <f t="shared" si="42"/>
        <v>0</v>
      </c>
      <c r="BA277" s="856"/>
      <c r="BB277" s="857"/>
      <c r="BC277" s="857"/>
      <c r="BD277" s="857"/>
    </row>
    <row r="278" spans="1:56" ht="14.25" x14ac:dyDescent="0.25">
      <c r="A278" s="802">
        <v>20</v>
      </c>
      <c r="B278" s="803">
        <f t="shared" si="43"/>
        <v>2037</v>
      </c>
      <c r="C278" s="836">
        <f>'O&amp;M'!C26</f>
        <v>0</v>
      </c>
      <c r="D278" s="841">
        <f t="shared" si="41"/>
        <v>0</v>
      </c>
      <c r="E278" s="807">
        <f t="shared" si="42"/>
        <v>0</v>
      </c>
      <c r="BA278" s="856"/>
      <c r="BB278" s="857"/>
      <c r="BC278" s="857"/>
      <c r="BD278" s="857"/>
    </row>
    <row r="279" spans="1:56" ht="14.25" x14ac:dyDescent="0.25">
      <c r="A279" s="802">
        <v>21</v>
      </c>
      <c r="B279" s="803">
        <f t="shared" si="43"/>
        <v>2038</v>
      </c>
      <c r="C279" s="836">
        <f>'O&amp;M'!C27</f>
        <v>0</v>
      </c>
      <c r="D279" s="841">
        <f t="shared" si="41"/>
        <v>0</v>
      </c>
      <c r="E279" s="807">
        <f t="shared" si="42"/>
        <v>0</v>
      </c>
      <c r="G279" s="782" t="s">
        <v>475</v>
      </c>
      <c r="BA279" s="856"/>
      <c r="BB279" s="857"/>
      <c r="BC279" s="857"/>
      <c r="BD279" s="857"/>
    </row>
    <row r="280" spans="1:56" ht="14.25" x14ac:dyDescent="0.25">
      <c r="A280" s="802">
        <v>22</v>
      </c>
      <c r="B280" s="803">
        <f t="shared" si="43"/>
        <v>2039</v>
      </c>
      <c r="C280" s="836">
        <f>'O&amp;M'!C28</f>
        <v>0</v>
      </c>
      <c r="D280" s="841">
        <f t="shared" si="41"/>
        <v>0</v>
      </c>
      <c r="E280" s="807">
        <f t="shared" si="42"/>
        <v>0</v>
      </c>
      <c r="BA280" s="856"/>
      <c r="BB280" s="857"/>
      <c r="BC280" s="857"/>
      <c r="BD280" s="857"/>
    </row>
    <row r="281" spans="1:56" ht="14.25" x14ac:dyDescent="0.25">
      <c r="A281" s="802">
        <v>23</v>
      </c>
      <c r="B281" s="803">
        <f t="shared" si="43"/>
        <v>2040</v>
      </c>
      <c r="C281" s="836">
        <f>'O&amp;M'!C29</f>
        <v>0</v>
      </c>
      <c r="D281" s="841">
        <f t="shared" si="41"/>
        <v>0</v>
      </c>
      <c r="E281" s="807">
        <f t="shared" si="42"/>
        <v>0</v>
      </c>
      <c r="BA281" s="856"/>
      <c r="BB281" s="857"/>
      <c r="BC281" s="857"/>
      <c r="BD281" s="857"/>
    </row>
    <row r="282" spans="1:56" ht="14.25" x14ac:dyDescent="0.25">
      <c r="A282" s="802">
        <v>24</v>
      </c>
      <c r="B282" s="803">
        <f t="shared" si="43"/>
        <v>2041</v>
      </c>
      <c r="C282" s="836">
        <f>'O&amp;M'!C30</f>
        <v>0</v>
      </c>
      <c r="D282" s="841">
        <f t="shared" ref="D282:D291" si="44">C282/(1+$E$4)^A282</f>
        <v>0</v>
      </c>
      <c r="E282" s="807">
        <f t="shared" ref="E282:E291" si="45">C282/(1+$F$4)^A282</f>
        <v>0</v>
      </c>
      <c r="BA282" s="856"/>
      <c r="BB282" s="857"/>
      <c r="BC282" s="857"/>
      <c r="BD282" s="857"/>
    </row>
    <row r="283" spans="1:56" ht="14.25" x14ac:dyDescent="0.25">
      <c r="A283" s="802">
        <v>25</v>
      </c>
      <c r="B283" s="803">
        <f t="shared" si="43"/>
        <v>2042</v>
      </c>
      <c r="C283" s="836">
        <f>'O&amp;M'!C31</f>
        <v>0</v>
      </c>
      <c r="D283" s="841">
        <f t="shared" si="44"/>
        <v>0</v>
      </c>
      <c r="E283" s="807">
        <f t="shared" si="45"/>
        <v>0</v>
      </c>
      <c r="G283" s="782" t="s">
        <v>475</v>
      </c>
      <c r="BA283" s="856"/>
      <c r="BB283" s="857"/>
      <c r="BC283" s="857"/>
      <c r="BD283" s="857"/>
    </row>
    <row r="284" spans="1:56" ht="14.25" x14ac:dyDescent="0.25">
      <c r="A284" s="802">
        <v>26</v>
      </c>
      <c r="B284" s="803">
        <f t="shared" si="43"/>
        <v>2043</v>
      </c>
      <c r="C284" s="836">
        <f>'O&amp;M'!C32</f>
        <v>0</v>
      </c>
      <c r="D284" s="841">
        <f t="shared" si="44"/>
        <v>0</v>
      </c>
      <c r="E284" s="807">
        <f t="shared" si="45"/>
        <v>0</v>
      </c>
      <c r="BA284" s="856"/>
      <c r="BB284" s="857"/>
      <c r="BC284" s="857"/>
      <c r="BD284" s="857"/>
    </row>
    <row r="285" spans="1:56" ht="14.25" x14ac:dyDescent="0.25">
      <c r="A285" s="802">
        <v>27</v>
      </c>
      <c r="B285" s="803">
        <f t="shared" si="43"/>
        <v>2044</v>
      </c>
      <c r="C285" s="836">
        <f>'O&amp;M'!C33</f>
        <v>0</v>
      </c>
      <c r="D285" s="841">
        <f t="shared" si="44"/>
        <v>0</v>
      </c>
      <c r="E285" s="807">
        <f t="shared" si="45"/>
        <v>0</v>
      </c>
      <c r="G285" s="782" t="s">
        <v>475</v>
      </c>
      <c r="BA285" s="856"/>
      <c r="BB285" s="857"/>
      <c r="BC285" s="857"/>
      <c r="BD285" s="857"/>
    </row>
    <row r="286" spans="1:56" ht="14.25" x14ac:dyDescent="0.25">
      <c r="A286" s="802">
        <v>28</v>
      </c>
      <c r="B286" s="803">
        <f t="shared" si="43"/>
        <v>2045</v>
      </c>
      <c r="C286" s="836">
        <f>'O&amp;M'!C34</f>
        <v>0</v>
      </c>
      <c r="D286" s="841">
        <f t="shared" si="44"/>
        <v>0</v>
      </c>
      <c r="E286" s="807">
        <f t="shared" si="45"/>
        <v>0</v>
      </c>
      <c r="BA286" s="856"/>
      <c r="BB286" s="857"/>
      <c r="BC286" s="857"/>
      <c r="BD286" s="857"/>
    </row>
    <row r="287" spans="1:56" ht="14.25" x14ac:dyDescent="0.25">
      <c r="A287" s="802">
        <v>29</v>
      </c>
      <c r="B287" s="803">
        <f t="shared" si="43"/>
        <v>2046</v>
      </c>
      <c r="C287" s="836">
        <f>'O&amp;M'!C35</f>
        <v>0</v>
      </c>
      <c r="D287" s="841">
        <f t="shared" si="44"/>
        <v>0</v>
      </c>
      <c r="E287" s="807">
        <f t="shared" si="45"/>
        <v>0</v>
      </c>
      <c r="BA287" s="856"/>
      <c r="BB287" s="857"/>
      <c r="BC287" s="857"/>
      <c r="BD287" s="857"/>
    </row>
    <row r="288" spans="1:56" ht="14.25" x14ac:dyDescent="0.25">
      <c r="A288" s="802">
        <v>30</v>
      </c>
      <c r="B288" s="803">
        <f t="shared" si="43"/>
        <v>2047</v>
      </c>
      <c r="C288" s="836">
        <f>'O&amp;M'!C36</f>
        <v>243498.91</v>
      </c>
      <c r="D288" s="841">
        <f t="shared" si="44"/>
        <v>100318.32687655547</v>
      </c>
      <c r="E288" s="807">
        <f t="shared" si="45"/>
        <v>31987.74983698492</v>
      </c>
      <c r="BA288" s="856"/>
      <c r="BB288" s="857"/>
      <c r="BC288" s="857"/>
      <c r="BD288" s="857"/>
    </row>
    <row r="289" spans="1:56" ht="14.25" x14ac:dyDescent="0.25">
      <c r="A289" s="802">
        <v>31</v>
      </c>
      <c r="B289" s="803">
        <f t="shared" si="43"/>
        <v>2048</v>
      </c>
      <c r="C289" s="836">
        <f>'O&amp;M'!C37</f>
        <v>0</v>
      </c>
      <c r="D289" s="841">
        <f t="shared" si="44"/>
        <v>0</v>
      </c>
      <c r="E289" s="807">
        <f t="shared" si="45"/>
        <v>0</v>
      </c>
      <c r="BA289" s="856"/>
      <c r="BB289" s="857"/>
      <c r="BC289" s="857"/>
      <c r="BD289" s="857"/>
    </row>
    <row r="290" spans="1:56" ht="14.25" x14ac:dyDescent="0.25">
      <c r="A290" s="802">
        <v>32</v>
      </c>
      <c r="B290" s="803">
        <f t="shared" si="43"/>
        <v>2049</v>
      </c>
      <c r="C290" s="836">
        <f>'O&amp;M'!C38</f>
        <v>0</v>
      </c>
      <c r="D290" s="841">
        <f t="shared" si="44"/>
        <v>0</v>
      </c>
      <c r="E290" s="807">
        <f t="shared" si="45"/>
        <v>0</v>
      </c>
      <c r="BA290" s="856"/>
      <c r="BB290" s="857"/>
      <c r="BC290" s="857"/>
      <c r="BD290" s="857"/>
    </row>
    <row r="291" spans="1:56" ht="14.25" x14ac:dyDescent="0.25">
      <c r="A291" s="802">
        <v>33</v>
      </c>
      <c r="B291" s="803">
        <f t="shared" si="43"/>
        <v>2050</v>
      </c>
      <c r="C291" s="836">
        <f>'O&amp;M'!C39</f>
        <v>0</v>
      </c>
      <c r="D291" s="841">
        <f t="shared" si="44"/>
        <v>0</v>
      </c>
      <c r="E291" s="807">
        <f t="shared" si="45"/>
        <v>0</v>
      </c>
      <c r="BA291" s="856"/>
      <c r="BB291" s="857"/>
      <c r="BC291" s="857"/>
      <c r="BD291" s="857"/>
    </row>
    <row r="292" spans="1:56" ht="15" thickBot="1" x14ac:dyDescent="0.3">
      <c r="A292" s="837" t="s">
        <v>387</v>
      </c>
      <c r="B292" s="842"/>
      <c r="C292" s="839">
        <f>SUM(C258:C291)</f>
        <v>730496.73</v>
      </c>
      <c r="D292" s="840">
        <f>SUM(D258:D291)</f>
        <v>500109.92143813358</v>
      </c>
      <c r="E292" s="840">
        <f>SUM(E258:E291)</f>
        <v>363741.87055373809</v>
      </c>
      <c r="BA292" s="856"/>
      <c r="BB292" s="857"/>
      <c r="BC292" s="857"/>
      <c r="BD292" s="857"/>
    </row>
    <row r="293" spans="1:56" ht="14.25" x14ac:dyDescent="0.25">
      <c r="BA293" s="856"/>
      <c r="BB293" s="857"/>
      <c r="BC293" s="857"/>
      <c r="BD293" s="857"/>
    </row>
    <row r="294" spans="1:56" ht="15" thickBot="1" x14ac:dyDescent="0.3">
      <c r="A294" s="1193" t="s">
        <v>512</v>
      </c>
      <c r="B294" s="1193"/>
      <c r="C294" s="1193"/>
      <c r="D294" s="1193"/>
      <c r="E294" s="1193"/>
      <c r="F294" s="1193"/>
      <c r="G294" s="1193"/>
      <c r="H294" s="1193"/>
      <c r="I294" s="1193"/>
      <c r="J294" s="1193"/>
      <c r="BA294" s="856"/>
      <c r="BB294" s="857"/>
      <c r="BC294" s="857"/>
      <c r="BD294" s="857"/>
    </row>
    <row r="295" spans="1:56" ht="14.25" x14ac:dyDescent="0.25">
      <c r="A295" s="785" t="s">
        <v>208</v>
      </c>
      <c r="B295" s="787" t="s">
        <v>206</v>
      </c>
      <c r="C295" s="787" t="s">
        <v>204</v>
      </c>
      <c r="D295" s="830" t="s">
        <v>309</v>
      </c>
      <c r="E295" s="831" t="s">
        <v>310</v>
      </c>
      <c r="F295" s="846" t="s">
        <v>311</v>
      </c>
      <c r="G295" s="846" t="s">
        <v>312</v>
      </c>
      <c r="H295" s="788" t="s">
        <v>313</v>
      </c>
      <c r="I295" s="858" t="s">
        <v>314</v>
      </c>
      <c r="J295" s="788" t="s">
        <v>315</v>
      </c>
      <c r="BA295" s="856"/>
      <c r="BB295" s="857"/>
      <c r="BC295" s="857"/>
      <c r="BD295" s="857"/>
    </row>
    <row r="296" spans="1:56" ht="14.25" x14ac:dyDescent="0.25">
      <c r="A296" s="1189" t="s">
        <v>7</v>
      </c>
      <c r="B296" s="1190" t="s">
        <v>316</v>
      </c>
      <c r="C296" s="1190" t="s">
        <v>433</v>
      </c>
      <c r="D296" s="1191" t="s">
        <v>434</v>
      </c>
      <c r="E296" s="1187" t="s">
        <v>446</v>
      </c>
      <c r="F296" s="1192"/>
      <c r="G296" s="1192" t="s">
        <v>447</v>
      </c>
      <c r="H296" s="1188"/>
      <c r="I296" s="1187" t="s">
        <v>448</v>
      </c>
      <c r="J296" s="1188"/>
      <c r="BA296" s="856"/>
      <c r="BB296" s="857"/>
      <c r="BC296" s="857"/>
      <c r="BD296" s="857"/>
    </row>
    <row r="297" spans="1:56" ht="14.25" x14ac:dyDescent="0.25">
      <c r="A297" s="1189"/>
      <c r="B297" s="1190"/>
      <c r="C297" s="1190"/>
      <c r="D297" s="1191"/>
      <c r="E297" s="832">
        <f>3/100</f>
        <v>0.03</v>
      </c>
      <c r="F297" s="859">
        <f>7/100</f>
        <v>7.0000000000000007E-2</v>
      </c>
      <c r="G297" s="859">
        <f>3/100</f>
        <v>0.03</v>
      </c>
      <c r="H297" s="795">
        <f>7/100</f>
        <v>7.0000000000000007E-2</v>
      </c>
      <c r="I297" s="832">
        <f>3/100</f>
        <v>0.03</v>
      </c>
      <c r="J297" s="795">
        <f>7/100</f>
        <v>7.0000000000000007E-2</v>
      </c>
      <c r="M297" s="782"/>
      <c r="N297" s="782"/>
      <c r="O297" s="782"/>
      <c r="P297" s="782"/>
      <c r="Q297" s="782"/>
      <c r="BA297" s="856"/>
      <c r="BB297" s="857"/>
      <c r="BC297" s="857"/>
      <c r="BD297" s="857"/>
    </row>
    <row r="298" spans="1:56" ht="28.5" x14ac:dyDescent="0.25">
      <c r="A298" s="1189"/>
      <c r="B298" s="1190"/>
      <c r="C298" s="1190"/>
      <c r="D298" s="1191"/>
      <c r="E298" s="833" t="s">
        <v>449</v>
      </c>
      <c r="F298" s="860" t="s">
        <v>450</v>
      </c>
      <c r="G298" s="860" t="s">
        <v>451</v>
      </c>
      <c r="H298" s="799" t="s">
        <v>452</v>
      </c>
      <c r="I298" s="833" t="s">
        <v>453</v>
      </c>
      <c r="J298" s="799" t="s">
        <v>454</v>
      </c>
      <c r="BA298" s="856"/>
      <c r="BB298" s="857"/>
      <c r="BC298" s="857"/>
      <c r="BD298" s="857"/>
    </row>
    <row r="299" spans="1:56" ht="14.25" x14ac:dyDescent="0.25">
      <c r="A299" s="802">
        <v>0</v>
      </c>
      <c r="B299" s="861">
        <v>2017</v>
      </c>
      <c r="C299" s="804">
        <f t="array" ref="C299:C304">TRANSPOSE('Costs Summary '!G28:L28)</f>
        <v>1691333.3333333333</v>
      </c>
      <c r="D299" s="862"/>
      <c r="E299" s="841">
        <f t="shared" ref="E299:E304" si="46">C299/(1+$E$297)^A299</f>
        <v>1691333.3333333333</v>
      </c>
      <c r="F299" s="863">
        <f t="shared" ref="F299:F304" si="47">C299/(1+$F$297)^A299</f>
        <v>1691333.3333333333</v>
      </c>
      <c r="G299" s="864"/>
      <c r="H299" s="865"/>
      <c r="I299" s="841">
        <f t="shared" ref="I299:I321" si="48">E299+G299</f>
        <v>1691333.3333333333</v>
      </c>
      <c r="J299" s="866">
        <f t="shared" ref="J299:J321" si="49">F299+H299</f>
        <v>1691333.3333333333</v>
      </c>
      <c r="BA299" s="856"/>
      <c r="BB299" s="857"/>
      <c r="BC299" s="857"/>
      <c r="BD299" s="857"/>
    </row>
    <row r="300" spans="1:56" ht="14.25" x14ac:dyDescent="0.25">
      <c r="A300" s="802">
        <f>1+A299</f>
        <v>1</v>
      </c>
      <c r="B300" s="861">
        <f>B299+1</f>
        <v>2018</v>
      </c>
      <c r="C300" s="804">
        <v>1691333.3333333333</v>
      </c>
      <c r="D300" s="805"/>
      <c r="E300" s="841">
        <f t="shared" si="46"/>
        <v>1642071.1974110031</v>
      </c>
      <c r="F300" s="863">
        <f t="shared" si="47"/>
        <v>1580685.3582554515</v>
      </c>
      <c r="G300" s="864"/>
      <c r="H300" s="865"/>
      <c r="I300" s="841">
        <f t="shared" si="48"/>
        <v>1642071.1974110031</v>
      </c>
      <c r="J300" s="866">
        <f t="shared" si="49"/>
        <v>1580685.3582554515</v>
      </c>
      <c r="BA300" s="856"/>
      <c r="BB300" s="857"/>
      <c r="BC300" s="857"/>
      <c r="BD300" s="857"/>
    </row>
    <row r="301" spans="1:56" ht="14.25" x14ac:dyDescent="0.25">
      <c r="A301" s="802">
        <f t="shared" ref="A301:A332" si="50">1+A300</f>
        <v>2</v>
      </c>
      <c r="B301" s="861">
        <f t="shared" ref="B301:B332" si="51">B300+1</f>
        <v>2019</v>
      </c>
      <c r="C301" s="804">
        <v>8179666.666666667</v>
      </c>
      <c r="D301" s="805"/>
      <c r="E301" s="841">
        <f t="shared" si="46"/>
        <v>7710120.3380777333</v>
      </c>
      <c r="F301" s="863">
        <f t="shared" si="47"/>
        <v>7144437.6510321135</v>
      </c>
      <c r="G301" s="864"/>
      <c r="H301" s="865"/>
      <c r="I301" s="841">
        <f t="shared" si="48"/>
        <v>7710120.3380777333</v>
      </c>
      <c r="J301" s="866">
        <f t="shared" si="49"/>
        <v>7144437.6510321135</v>
      </c>
      <c r="BA301" s="856"/>
      <c r="BB301" s="857"/>
      <c r="BC301" s="857"/>
      <c r="BD301" s="857"/>
    </row>
    <row r="302" spans="1:56" ht="14.25" x14ac:dyDescent="0.25">
      <c r="A302" s="802">
        <f t="shared" si="50"/>
        <v>3</v>
      </c>
      <c r="B302" s="861">
        <f t="shared" si="51"/>
        <v>2020</v>
      </c>
      <c r="C302" s="804">
        <v>91318566.972243443</v>
      </c>
      <c r="D302" s="805"/>
      <c r="E302" s="841">
        <f t="shared" si="46"/>
        <v>83569424.90873149</v>
      </c>
      <c r="F302" s="863">
        <f t="shared" si="47"/>
        <v>74543152.34015739</v>
      </c>
      <c r="G302" s="864"/>
      <c r="H302" s="865"/>
      <c r="I302" s="841">
        <f t="shared" si="48"/>
        <v>83569424.90873149</v>
      </c>
      <c r="J302" s="866">
        <f t="shared" si="49"/>
        <v>74543152.34015739</v>
      </c>
      <c r="BA302" s="856"/>
      <c r="BB302" s="857"/>
      <c r="BC302" s="857"/>
      <c r="BD302" s="857"/>
    </row>
    <row r="303" spans="1:56" ht="14.25" x14ac:dyDescent="0.25">
      <c r="A303" s="802">
        <f t="shared" si="50"/>
        <v>4</v>
      </c>
      <c r="B303" s="861">
        <f t="shared" si="51"/>
        <v>2021</v>
      </c>
      <c r="C303" s="804">
        <v>71786174.560733393</v>
      </c>
      <c r="D303" s="805"/>
      <c r="E303" s="841">
        <f t="shared" si="46"/>
        <v>63781086.31662634</v>
      </c>
      <c r="F303" s="863">
        <f t="shared" si="47"/>
        <v>54765328.863591366</v>
      </c>
      <c r="G303" s="864"/>
      <c r="H303" s="865"/>
      <c r="I303" s="841">
        <f t="shared" si="48"/>
        <v>63781086.31662634</v>
      </c>
      <c r="J303" s="866">
        <f t="shared" si="49"/>
        <v>54765328.863591366</v>
      </c>
      <c r="BA303" s="856"/>
      <c r="BB303" s="857"/>
      <c r="BC303" s="857"/>
      <c r="BD303" s="857"/>
    </row>
    <row r="304" spans="1:56" ht="14.25" x14ac:dyDescent="0.25">
      <c r="A304" s="802">
        <f t="shared" si="50"/>
        <v>5</v>
      </c>
      <c r="B304" s="861">
        <f t="shared" si="51"/>
        <v>2022</v>
      </c>
      <c r="C304" s="804">
        <v>8621925.1336898394</v>
      </c>
      <c r="D304" s="805"/>
      <c r="E304" s="841">
        <f t="shared" si="46"/>
        <v>7437348.3586234637</v>
      </c>
      <c r="F304" s="863">
        <f t="shared" si="47"/>
        <v>6147313.4608637355</v>
      </c>
      <c r="G304" s="863"/>
      <c r="H304" s="866"/>
      <c r="I304" s="841">
        <f t="shared" si="48"/>
        <v>7437348.3586234637</v>
      </c>
      <c r="J304" s="866">
        <f t="shared" si="49"/>
        <v>6147313.4608637355</v>
      </c>
      <c r="BA304" s="856"/>
      <c r="BB304" s="857"/>
      <c r="BC304" s="857"/>
      <c r="BD304" s="857"/>
    </row>
    <row r="305" spans="1:56" ht="14.25" x14ac:dyDescent="0.25">
      <c r="A305" s="802">
        <f t="shared" si="50"/>
        <v>6</v>
      </c>
      <c r="B305" s="861">
        <f t="shared" si="51"/>
        <v>2023</v>
      </c>
      <c r="C305" s="804"/>
      <c r="D305" s="805">
        <f>'O&amp;M'!D13</f>
        <v>0</v>
      </c>
      <c r="E305" s="841"/>
      <c r="F305" s="863"/>
      <c r="G305" s="863">
        <f t="shared" ref="G305:G321" si="52">D305/(1+$G$297)^A305</f>
        <v>0</v>
      </c>
      <c r="H305" s="866">
        <f t="shared" ref="H305:H321" si="53">D305/(1+$H$297)^A305</f>
        <v>0</v>
      </c>
      <c r="I305" s="841">
        <f t="shared" si="48"/>
        <v>0</v>
      </c>
      <c r="J305" s="866">
        <f t="shared" si="49"/>
        <v>0</v>
      </c>
      <c r="BA305" s="856"/>
      <c r="BB305" s="857"/>
      <c r="BC305" s="857"/>
      <c r="BD305" s="857"/>
    </row>
    <row r="306" spans="1:56" ht="14.25" x14ac:dyDescent="0.25">
      <c r="A306" s="802">
        <f t="shared" si="50"/>
        <v>7</v>
      </c>
      <c r="B306" s="861">
        <f t="shared" si="51"/>
        <v>2024</v>
      </c>
      <c r="C306" s="804"/>
      <c r="D306" s="805">
        <f>'O&amp;M'!D14</f>
        <v>0</v>
      </c>
      <c r="E306" s="841"/>
      <c r="F306" s="863"/>
      <c r="G306" s="863">
        <f t="shared" si="52"/>
        <v>0</v>
      </c>
      <c r="H306" s="866">
        <f t="shared" si="53"/>
        <v>0</v>
      </c>
      <c r="I306" s="841">
        <f t="shared" si="48"/>
        <v>0</v>
      </c>
      <c r="J306" s="866">
        <f t="shared" si="49"/>
        <v>0</v>
      </c>
      <c r="BA306" s="856"/>
      <c r="BB306" s="857"/>
      <c r="BC306" s="857"/>
      <c r="BD306" s="857"/>
    </row>
    <row r="307" spans="1:56" ht="14.25" x14ac:dyDescent="0.25">
      <c r="A307" s="802">
        <f t="shared" si="50"/>
        <v>8</v>
      </c>
      <c r="B307" s="861">
        <f t="shared" si="51"/>
        <v>2025</v>
      </c>
      <c r="C307" s="867"/>
      <c r="D307" s="805">
        <f>'O&amp;M'!D15</f>
        <v>0</v>
      </c>
      <c r="E307" s="841"/>
      <c r="F307" s="868"/>
      <c r="G307" s="863">
        <f t="shared" si="52"/>
        <v>0</v>
      </c>
      <c r="H307" s="866">
        <f t="shared" si="53"/>
        <v>0</v>
      </c>
      <c r="I307" s="841">
        <f t="shared" si="48"/>
        <v>0</v>
      </c>
      <c r="J307" s="866">
        <f t="shared" si="49"/>
        <v>0</v>
      </c>
      <c r="BA307" s="856"/>
      <c r="BB307" s="857"/>
      <c r="BC307" s="857"/>
      <c r="BD307" s="857"/>
    </row>
    <row r="308" spans="1:56" ht="14.25" x14ac:dyDescent="0.25">
      <c r="A308" s="802">
        <f t="shared" si="50"/>
        <v>9</v>
      </c>
      <c r="B308" s="861">
        <f t="shared" si="51"/>
        <v>2026</v>
      </c>
      <c r="C308" s="867"/>
      <c r="D308" s="805">
        <f>'O&amp;M'!D16</f>
        <v>0</v>
      </c>
      <c r="E308" s="841"/>
      <c r="F308" s="868"/>
      <c r="G308" s="863">
        <f t="shared" si="52"/>
        <v>0</v>
      </c>
      <c r="H308" s="866">
        <f t="shared" si="53"/>
        <v>0</v>
      </c>
      <c r="I308" s="841">
        <f t="shared" si="48"/>
        <v>0</v>
      </c>
      <c r="J308" s="866">
        <f t="shared" si="49"/>
        <v>0</v>
      </c>
      <c r="BA308" s="856"/>
      <c r="BB308" s="857"/>
      <c r="BC308" s="857"/>
      <c r="BD308" s="857"/>
    </row>
    <row r="309" spans="1:56" ht="14.25" x14ac:dyDescent="0.25">
      <c r="A309" s="802">
        <f t="shared" si="50"/>
        <v>10</v>
      </c>
      <c r="B309" s="861">
        <f t="shared" si="51"/>
        <v>2027</v>
      </c>
      <c r="C309" s="867"/>
      <c r="D309" s="805">
        <f>'O&amp;M'!D17</f>
        <v>0</v>
      </c>
      <c r="E309" s="841"/>
      <c r="F309" s="868"/>
      <c r="G309" s="863">
        <f t="shared" si="52"/>
        <v>0</v>
      </c>
      <c r="H309" s="866">
        <f t="shared" si="53"/>
        <v>0</v>
      </c>
      <c r="I309" s="841">
        <f t="shared" si="48"/>
        <v>0</v>
      </c>
      <c r="J309" s="866">
        <f t="shared" si="49"/>
        <v>0</v>
      </c>
      <c r="BA309" s="856"/>
      <c r="BB309" s="857"/>
      <c r="BC309" s="857"/>
      <c r="BD309" s="857"/>
    </row>
    <row r="310" spans="1:56" ht="14.25" x14ac:dyDescent="0.25">
      <c r="A310" s="802">
        <f t="shared" si="50"/>
        <v>11</v>
      </c>
      <c r="B310" s="861">
        <f t="shared" si="51"/>
        <v>2028</v>
      </c>
      <c r="C310" s="867"/>
      <c r="D310" s="805">
        <f>'O&amp;M'!D18</f>
        <v>0</v>
      </c>
      <c r="E310" s="841"/>
      <c r="F310" s="868"/>
      <c r="G310" s="863">
        <f t="shared" si="52"/>
        <v>0</v>
      </c>
      <c r="H310" s="866">
        <f t="shared" si="53"/>
        <v>0</v>
      </c>
      <c r="I310" s="841">
        <f t="shared" si="48"/>
        <v>0</v>
      </c>
      <c r="J310" s="866">
        <f t="shared" si="49"/>
        <v>0</v>
      </c>
      <c r="BA310" s="856"/>
      <c r="BB310" s="857"/>
      <c r="BC310" s="857"/>
      <c r="BD310" s="857"/>
    </row>
    <row r="311" spans="1:56" ht="14.25" x14ac:dyDescent="0.25">
      <c r="A311" s="802">
        <f t="shared" si="50"/>
        <v>12</v>
      </c>
      <c r="B311" s="861">
        <f t="shared" si="51"/>
        <v>2029</v>
      </c>
      <c r="C311" s="867"/>
      <c r="D311" s="805">
        <f>'O&amp;M'!D19</f>
        <v>0</v>
      </c>
      <c r="E311" s="841"/>
      <c r="F311" s="868"/>
      <c r="G311" s="863">
        <f t="shared" si="52"/>
        <v>0</v>
      </c>
      <c r="H311" s="866">
        <f t="shared" si="53"/>
        <v>0</v>
      </c>
      <c r="I311" s="841">
        <f t="shared" si="48"/>
        <v>0</v>
      </c>
      <c r="J311" s="866">
        <f t="shared" si="49"/>
        <v>0</v>
      </c>
      <c r="BA311" s="856"/>
      <c r="BB311" s="857"/>
      <c r="BC311" s="857"/>
      <c r="BD311" s="857"/>
    </row>
    <row r="312" spans="1:56" ht="14.25" x14ac:dyDescent="0.25">
      <c r="A312" s="802">
        <f t="shared" si="50"/>
        <v>13</v>
      </c>
      <c r="B312" s="861">
        <f t="shared" si="51"/>
        <v>2030</v>
      </c>
      <c r="C312" s="867"/>
      <c r="D312" s="805">
        <f>'O&amp;M'!D20</f>
        <v>0</v>
      </c>
      <c r="E312" s="841"/>
      <c r="F312" s="868"/>
      <c r="G312" s="863">
        <f t="shared" si="52"/>
        <v>0</v>
      </c>
      <c r="H312" s="866">
        <f t="shared" si="53"/>
        <v>0</v>
      </c>
      <c r="I312" s="841">
        <f t="shared" si="48"/>
        <v>0</v>
      </c>
      <c r="J312" s="866">
        <f t="shared" si="49"/>
        <v>0</v>
      </c>
      <c r="BA312" s="856"/>
      <c r="BB312" s="857"/>
      <c r="BC312" s="857"/>
      <c r="BD312" s="857"/>
    </row>
    <row r="313" spans="1:56" ht="14.25" x14ac:dyDescent="0.25">
      <c r="A313" s="802">
        <f t="shared" si="50"/>
        <v>14</v>
      </c>
      <c r="B313" s="861">
        <f t="shared" si="51"/>
        <v>2031</v>
      </c>
      <c r="C313" s="867"/>
      <c r="D313" s="805">
        <f>'O&amp;M'!D21</f>
        <v>0</v>
      </c>
      <c r="E313" s="841"/>
      <c r="F313" s="868"/>
      <c r="G313" s="863">
        <f t="shared" si="52"/>
        <v>0</v>
      </c>
      <c r="H313" s="866">
        <f t="shared" si="53"/>
        <v>0</v>
      </c>
      <c r="I313" s="841">
        <f t="shared" si="48"/>
        <v>0</v>
      </c>
      <c r="J313" s="866">
        <f t="shared" si="49"/>
        <v>0</v>
      </c>
      <c r="BA313" s="856"/>
      <c r="BB313" s="857"/>
      <c r="BC313" s="857"/>
      <c r="BD313" s="857"/>
    </row>
    <row r="314" spans="1:56" ht="14.25" x14ac:dyDescent="0.25">
      <c r="A314" s="802">
        <f t="shared" si="50"/>
        <v>15</v>
      </c>
      <c r="B314" s="861">
        <f t="shared" si="51"/>
        <v>2032</v>
      </c>
      <c r="C314" s="867"/>
      <c r="D314" s="805">
        <f>'O&amp;M'!D22</f>
        <v>0</v>
      </c>
      <c r="E314" s="841"/>
      <c r="F314" s="868"/>
      <c r="G314" s="863">
        <f t="shared" si="52"/>
        <v>0</v>
      </c>
      <c r="H314" s="866">
        <f t="shared" si="53"/>
        <v>0</v>
      </c>
      <c r="I314" s="841">
        <f t="shared" si="48"/>
        <v>0</v>
      </c>
      <c r="J314" s="866">
        <f t="shared" si="49"/>
        <v>0</v>
      </c>
      <c r="BA314" s="856"/>
      <c r="BB314" s="857"/>
      <c r="BC314" s="857"/>
      <c r="BD314" s="857"/>
    </row>
    <row r="315" spans="1:56" ht="14.25" x14ac:dyDescent="0.25">
      <c r="A315" s="802">
        <f t="shared" si="50"/>
        <v>16</v>
      </c>
      <c r="B315" s="861">
        <f t="shared" si="51"/>
        <v>2033</v>
      </c>
      <c r="C315" s="867"/>
      <c r="D315" s="805">
        <f>'O&amp;M'!D23</f>
        <v>0</v>
      </c>
      <c r="E315" s="841"/>
      <c r="F315" s="868"/>
      <c r="G315" s="863">
        <f t="shared" si="52"/>
        <v>0</v>
      </c>
      <c r="H315" s="866">
        <f t="shared" si="53"/>
        <v>0</v>
      </c>
      <c r="I315" s="841">
        <f t="shared" si="48"/>
        <v>0</v>
      </c>
      <c r="J315" s="866">
        <f t="shared" si="49"/>
        <v>0</v>
      </c>
      <c r="BA315" s="856"/>
      <c r="BB315" s="857"/>
      <c r="BC315" s="857"/>
      <c r="BD315" s="857"/>
    </row>
    <row r="316" spans="1:56" ht="14.25" x14ac:dyDescent="0.25">
      <c r="A316" s="802">
        <f t="shared" si="50"/>
        <v>17</v>
      </c>
      <c r="B316" s="861">
        <f t="shared" si="51"/>
        <v>2034</v>
      </c>
      <c r="C316" s="867"/>
      <c r="D316" s="805">
        <f>'O&amp;M'!D24</f>
        <v>0</v>
      </c>
      <c r="E316" s="841"/>
      <c r="F316" s="868"/>
      <c r="G316" s="863">
        <f t="shared" si="52"/>
        <v>0</v>
      </c>
      <c r="H316" s="866">
        <f t="shared" si="53"/>
        <v>0</v>
      </c>
      <c r="I316" s="841">
        <f t="shared" si="48"/>
        <v>0</v>
      </c>
      <c r="J316" s="866">
        <f t="shared" si="49"/>
        <v>0</v>
      </c>
      <c r="BA316" s="856"/>
      <c r="BB316" s="857"/>
      <c r="BC316" s="857"/>
      <c r="BD316" s="857"/>
    </row>
    <row r="317" spans="1:56" ht="14.25" x14ac:dyDescent="0.25">
      <c r="A317" s="802">
        <f t="shared" si="50"/>
        <v>18</v>
      </c>
      <c r="B317" s="861">
        <f t="shared" si="51"/>
        <v>2035</v>
      </c>
      <c r="C317" s="867"/>
      <c r="D317" s="805">
        <f>'O&amp;M'!D25</f>
        <v>0</v>
      </c>
      <c r="E317" s="841"/>
      <c r="F317" s="868"/>
      <c r="G317" s="863">
        <f t="shared" si="52"/>
        <v>0</v>
      </c>
      <c r="H317" s="866">
        <f t="shared" si="53"/>
        <v>0</v>
      </c>
      <c r="I317" s="841">
        <f t="shared" si="48"/>
        <v>0</v>
      </c>
      <c r="J317" s="866">
        <f t="shared" si="49"/>
        <v>0</v>
      </c>
      <c r="BA317" s="856"/>
      <c r="BB317" s="857"/>
      <c r="BC317" s="857"/>
      <c r="BD317" s="857"/>
    </row>
    <row r="318" spans="1:56" ht="14.25" x14ac:dyDescent="0.25">
      <c r="A318" s="802">
        <f t="shared" si="50"/>
        <v>19</v>
      </c>
      <c r="B318" s="861">
        <f t="shared" si="51"/>
        <v>2036</v>
      </c>
      <c r="C318" s="867"/>
      <c r="D318" s="805">
        <f>'O&amp;M'!D26</f>
        <v>0</v>
      </c>
      <c r="E318" s="841"/>
      <c r="F318" s="868"/>
      <c r="G318" s="863">
        <f t="shared" si="52"/>
        <v>0</v>
      </c>
      <c r="H318" s="866">
        <f t="shared" si="53"/>
        <v>0</v>
      </c>
      <c r="I318" s="841">
        <f t="shared" si="48"/>
        <v>0</v>
      </c>
      <c r="J318" s="866">
        <f t="shared" si="49"/>
        <v>0</v>
      </c>
      <c r="BA318" s="856"/>
      <c r="BB318" s="857"/>
      <c r="BC318" s="857"/>
      <c r="BD318" s="857"/>
    </row>
    <row r="319" spans="1:56" ht="14.25" x14ac:dyDescent="0.25">
      <c r="A319" s="802">
        <f t="shared" si="50"/>
        <v>20</v>
      </c>
      <c r="B319" s="861">
        <f t="shared" si="51"/>
        <v>2037</v>
      </c>
      <c r="C319" s="867"/>
      <c r="D319" s="805">
        <f>'O&amp;M'!D27</f>
        <v>0</v>
      </c>
      <c r="E319" s="841"/>
      <c r="F319" s="868"/>
      <c r="G319" s="863">
        <f t="shared" si="52"/>
        <v>0</v>
      </c>
      <c r="H319" s="866">
        <f t="shared" si="53"/>
        <v>0</v>
      </c>
      <c r="I319" s="841">
        <f t="shared" si="48"/>
        <v>0</v>
      </c>
      <c r="J319" s="866">
        <f t="shared" si="49"/>
        <v>0</v>
      </c>
      <c r="BA319" s="856"/>
      <c r="BB319" s="857"/>
      <c r="BC319" s="857"/>
      <c r="BD319" s="857"/>
    </row>
    <row r="320" spans="1:56" ht="14.25" x14ac:dyDescent="0.25">
      <c r="A320" s="802">
        <f t="shared" si="50"/>
        <v>21</v>
      </c>
      <c r="B320" s="861">
        <f t="shared" si="51"/>
        <v>2038</v>
      </c>
      <c r="C320" s="867"/>
      <c r="D320" s="805">
        <f>'O&amp;M'!D28</f>
        <v>0</v>
      </c>
      <c r="E320" s="841"/>
      <c r="F320" s="868"/>
      <c r="G320" s="863">
        <f t="shared" si="52"/>
        <v>0</v>
      </c>
      <c r="H320" s="866">
        <f t="shared" si="53"/>
        <v>0</v>
      </c>
      <c r="I320" s="841">
        <f t="shared" si="48"/>
        <v>0</v>
      </c>
      <c r="J320" s="866">
        <f t="shared" si="49"/>
        <v>0</v>
      </c>
      <c r="BA320" s="856"/>
      <c r="BB320" s="857"/>
      <c r="BC320" s="857"/>
      <c r="BD320" s="857"/>
    </row>
    <row r="321" spans="1:56" ht="14.25" x14ac:dyDescent="0.25">
      <c r="A321" s="802">
        <f t="shared" si="50"/>
        <v>22</v>
      </c>
      <c r="B321" s="861">
        <f t="shared" si="51"/>
        <v>2039</v>
      </c>
      <c r="C321" s="867"/>
      <c r="D321" s="805">
        <f>'O&amp;M'!D29</f>
        <v>243498.91</v>
      </c>
      <c r="E321" s="841"/>
      <c r="F321" s="868"/>
      <c r="G321" s="863">
        <f t="shared" si="52"/>
        <v>127080.25510208361</v>
      </c>
      <c r="H321" s="866">
        <f t="shared" si="53"/>
        <v>54960.909693828246</v>
      </c>
      <c r="I321" s="841">
        <f t="shared" si="48"/>
        <v>127080.25510208361</v>
      </c>
      <c r="J321" s="866">
        <f t="shared" si="49"/>
        <v>54960.909693828246</v>
      </c>
      <c r="BA321" s="856"/>
      <c r="BB321" s="857"/>
      <c r="BC321" s="857"/>
      <c r="BD321" s="857"/>
    </row>
    <row r="322" spans="1:56" ht="14.25" x14ac:dyDescent="0.25">
      <c r="A322" s="802">
        <f t="shared" si="50"/>
        <v>23</v>
      </c>
      <c r="B322" s="861">
        <f t="shared" si="51"/>
        <v>2040</v>
      </c>
      <c r="C322" s="867"/>
      <c r="D322" s="805">
        <f>'O&amp;M'!D30</f>
        <v>0</v>
      </c>
      <c r="E322" s="841"/>
      <c r="F322" s="868"/>
      <c r="G322" s="863">
        <f t="shared" ref="G322:G332" si="54">D322/(1+$G$297)^A322</f>
        <v>0</v>
      </c>
      <c r="H322" s="866">
        <f t="shared" ref="H322:H332" si="55">D322/(1+$H$297)^A322</f>
        <v>0</v>
      </c>
      <c r="I322" s="841">
        <f t="shared" ref="I322:I332" si="56">E322+G322</f>
        <v>0</v>
      </c>
      <c r="J322" s="866">
        <f t="shared" ref="J322:J332" si="57">F322+H322</f>
        <v>0</v>
      </c>
      <c r="BA322" s="856"/>
      <c r="BB322" s="857"/>
      <c r="BC322" s="857"/>
      <c r="BD322" s="857"/>
    </row>
    <row r="323" spans="1:56" ht="14.25" x14ac:dyDescent="0.25">
      <c r="A323" s="802">
        <f t="shared" si="50"/>
        <v>24</v>
      </c>
      <c r="B323" s="861">
        <f t="shared" si="51"/>
        <v>2041</v>
      </c>
      <c r="C323" s="867"/>
      <c r="D323" s="805">
        <f>'O&amp;M'!D31</f>
        <v>0</v>
      </c>
      <c r="E323" s="841"/>
      <c r="F323" s="868"/>
      <c r="G323" s="863">
        <f t="shared" si="54"/>
        <v>0</v>
      </c>
      <c r="H323" s="866">
        <f t="shared" si="55"/>
        <v>0</v>
      </c>
      <c r="I323" s="841">
        <f t="shared" si="56"/>
        <v>0</v>
      </c>
      <c r="J323" s="866">
        <f t="shared" si="57"/>
        <v>0</v>
      </c>
      <c r="BA323" s="856"/>
      <c r="BB323" s="857"/>
      <c r="BC323" s="857"/>
      <c r="BD323" s="857"/>
    </row>
    <row r="324" spans="1:56" ht="14.25" x14ac:dyDescent="0.25">
      <c r="A324" s="802">
        <f t="shared" si="50"/>
        <v>25</v>
      </c>
      <c r="B324" s="861">
        <f t="shared" si="51"/>
        <v>2042</v>
      </c>
      <c r="C324" s="867"/>
      <c r="D324" s="805">
        <f>'O&amp;M'!D32</f>
        <v>0</v>
      </c>
      <c r="E324" s="841"/>
      <c r="F324" s="868"/>
      <c r="G324" s="863">
        <f t="shared" si="54"/>
        <v>0</v>
      </c>
      <c r="H324" s="866">
        <f t="shared" si="55"/>
        <v>0</v>
      </c>
      <c r="I324" s="841">
        <f t="shared" si="56"/>
        <v>0</v>
      </c>
      <c r="J324" s="866">
        <f t="shared" si="57"/>
        <v>0</v>
      </c>
      <c r="L324" s="782" t="s">
        <v>475</v>
      </c>
      <c r="BA324" s="856"/>
      <c r="BB324" s="857"/>
      <c r="BC324" s="857"/>
      <c r="BD324" s="857"/>
    </row>
    <row r="325" spans="1:56" ht="14.25" x14ac:dyDescent="0.25">
      <c r="A325" s="802">
        <f t="shared" si="50"/>
        <v>26</v>
      </c>
      <c r="B325" s="861">
        <f t="shared" si="51"/>
        <v>2043</v>
      </c>
      <c r="C325" s="867"/>
      <c r="D325" s="805">
        <f>'O&amp;M'!D33</f>
        <v>0</v>
      </c>
      <c r="E325" s="841"/>
      <c r="F325" s="868"/>
      <c r="G325" s="863">
        <f t="shared" si="54"/>
        <v>0</v>
      </c>
      <c r="H325" s="866">
        <f t="shared" si="55"/>
        <v>0</v>
      </c>
      <c r="I325" s="841">
        <f t="shared" si="56"/>
        <v>0</v>
      </c>
      <c r="J325" s="866">
        <f t="shared" si="57"/>
        <v>0</v>
      </c>
      <c r="L325" s="782" t="s">
        <v>475</v>
      </c>
      <c r="BA325" s="856"/>
      <c r="BB325" s="857"/>
      <c r="BC325" s="857"/>
      <c r="BD325" s="857"/>
    </row>
    <row r="326" spans="1:56" ht="14.25" x14ac:dyDescent="0.25">
      <c r="A326" s="802">
        <f t="shared" si="50"/>
        <v>27</v>
      </c>
      <c r="B326" s="861">
        <f t="shared" si="51"/>
        <v>2044</v>
      </c>
      <c r="C326" s="867"/>
      <c r="D326" s="805">
        <f>'O&amp;M'!D34</f>
        <v>0</v>
      </c>
      <c r="E326" s="841"/>
      <c r="F326" s="868"/>
      <c r="G326" s="863">
        <f t="shared" si="54"/>
        <v>0</v>
      </c>
      <c r="H326" s="866">
        <f t="shared" si="55"/>
        <v>0</v>
      </c>
      <c r="I326" s="841">
        <f t="shared" si="56"/>
        <v>0</v>
      </c>
      <c r="J326" s="866">
        <f t="shared" si="57"/>
        <v>0</v>
      </c>
      <c r="BA326" s="856"/>
      <c r="BB326" s="857"/>
      <c r="BC326" s="857"/>
      <c r="BD326" s="857"/>
    </row>
    <row r="327" spans="1:56" ht="14.25" x14ac:dyDescent="0.25">
      <c r="A327" s="802">
        <f t="shared" si="50"/>
        <v>28</v>
      </c>
      <c r="B327" s="861">
        <f t="shared" si="51"/>
        <v>2045</v>
      </c>
      <c r="C327" s="867"/>
      <c r="D327" s="805">
        <f>'O&amp;M'!D35</f>
        <v>0</v>
      </c>
      <c r="E327" s="841"/>
      <c r="F327" s="868"/>
      <c r="G327" s="863">
        <f t="shared" si="54"/>
        <v>0</v>
      </c>
      <c r="H327" s="866">
        <f t="shared" si="55"/>
        <v>0</v>
      </c>
      <c r="I327" s="841">
        <f t="shared" si="56"/>
        <v>0</v>
      </c>
      <c r="J327" s="866">
        <f t="shared" si="57"/>
        <v>0</v>
      </c>
      <c r="BA327" s="856"/>
      <c r="BB327" s="857"/>
      <c r="BC327" s="857"/>
      <c r="BD327" s="857"/>
    </row>
    <row r="328" spans="1:56" ht="14.25" x14ac:dyDescent="0.25">
      <c r="A328" s="802">
        <f t="shared" si="50"/>
        <v>29</v>
      </c>
      <c r="B328" s="861">
        <f t="shared" si="51"/>
        <v>2046</v>
      </c>
      <c r="C328" s="867"/>
      <c r="D328" s="805">
        <f>'O&amp;M'!D36</f>
        <v>0</v>
      </c>
      <c r="E328" s="841"/>
      <c r="F328" s="868"/>
      <c r="G328" s="863">
        <f t="shared" si="54"/>
        <v>0</v>
      </c>
      <c r="H328" s="866">
        <f t="shared" si="55"/>
        <v>0</v>
      </c>
      <c r="I328" s="841">
        <f t="shared" si="56"/>
        <v>0</v>
      </c>
      <c r="J328" s="866">
        <f t="shared" si="57"/>
        <v>0</v>
      </c>
      <c r="BA328" s="856"/>
      <c r="BB328" s="857"/>
      <c r="BC328" s="857"/>
      <c r="BD328" s="857"/>
    </row>
    <row r="329" spans="1:56" ht="14.25" x14ac:dyDescent="0.25">
      <c r="A329" s="802">
        <f t="shared" si="50"/>
        <v>30</v>
      </c>
      <c r="B329" s="861">
        <f t="shared" si="51"/>
        <v>2047</v>
      </c>
      <c r="C329" s="867"/>
      <c r="D329" s="805">
        <f>'O&amp;M'!D37</f>
        <v>0</v>
      </c>
      <c r="E329" s="841"/>
      <c r="F329" s="868"/>
      <c r="G329" s="863">
        <f t="shared" si="54"/>
        <v>0</v>
      </c>
      <c r="H329" s="866">
        <f t="shared" si="55"/>
        <v>0</v>
      </c>
      <c r="I329" s="841">
        <f t="shared" si="56"/>
        <v>0</v>
      </c>
      <c r="J329" s="866">
        <f t="shared" si="57"/>
        <v>0</v>
      </c>
      <c r="BA329" s="856"/>
      <c r="BB329" s="857"/>
      <c r="BC329" s="857"/>
      <c r="BD329" s="857"/>
    </row>
    <row r="330" spans="1:56" ht="14.25" x14ac:dyDescent="0.25">
      <c r="A330" s="802">
        <f t="shared" si="50"/>
        <v>31</v>
      </c>
      <c r="B330" s="861">
        <f t="shared" si="51"/>
        <v>2048</v>
      </c>
      <c r="C330" s="867"/>
      <c r="D330" s="805">
        <f>'O&amp;M'!D38</f>
        <v>0</v>
      </c>
      <c r="E330" s="841"/>
      <c r="F330" s="868"/>
      <c r="G330" s="863">
        <f t="shared" si="54"/>
        <v>0</v>
      </c>
      <c r="H330" s="866">
        <f t="shared" si="55"/>
        <v>0</v>
      </c>
      <c r="I330" s="841">
        <f t="shared" si="56"/>
        <v>0</v>
      </c>
      <c r="J330" s="866">
        <f t="shared" si="57"/>
        <v>0</v>
      </c>
      <c r="BA330" s="856"/>
      <c r="BB330" s="857"/>
      <c r="BC330" s="857"/>
      <c r="BD330" s="857"/>
    </row>
    <row r="331" spans="1:56" ht="14.25" x14ac:dyDescent="0.25">
      <c r="A331" s="802">
        <f t="shared" si="50"/>
        <v>32</v>
      </c>
      <c r="B331" s="861">
        <f t="shared" si="51"/>
        <v>2049</v>
      </c>
      <c r="C331" s="867"/>
      <c r="D331" s="805">
        <f>'O&amp;M'!D39</f>
        <v>0</v>
      </c>
      <c r="E331" s="841"/>
      <c r="F331" s="868"/>
      <c r="G331" s="863">
        <f t="shared" si="54"/>
        <v>0</v>
      </c>
      <c r="H331" s="866">
        <f t="shared" si="55"/>
        <v>0</v>
      </c>
      <c r="I331" s="841">
        <f t="shared" si="56"/>
        <v>0</v>
      </c>
      <c r="J331" s="866">
        <f t="shared" si="57"/>
        <v>0</v>
      </c>
      <c r="BA331" s="856"/>
      <c r="BB331" s="857"/>
      <c r="BC331" s="857"/>
      <c r="BD331" s="857"/>
    </row>
    <row r="332" spans="1:56" ht="14.25" x14ac:dyDescent="0.25">
      <c r="A332" s="802">
        <f t="shared" si="50"/>
        <v>33</v>
      </c>
      <c r="B332" s="861">
        <f t="shared" si="51"/>
        <v>2050</v>
      </c>
      <c r="C332" s="867"/>
      <c r="D332" s="805">
        <f>'O&amp;M'!D40</f>
        <v>0</v>
      </c>
      <c r="E332" s="841"/>
      <c r="F332" s="868"/>
      <c r="G332" s="863">
        <f t="shared" si="54"/>
        <v>0</v>
      </c>
      <c r="H332" s="866">
        <f t="shared" si="55"/>
        <v>0</v>
      </c>
      <c r="I332" s="841">
        <f t="shared" si="56"/>
        <v>0</v>
      </c>
      <c r="J332" s="866">
        <f t="shared" si="57"/>
        <v>0</v>
      </c>
      <c r="BA332" s="856"/>
      <c r="BB332" s="857"/>
      <c r="BC332" s="857"/>
      <c r="BD332" s="857"/>
    </row>
    <row r="333" spans="1:56" ht="15" thickBot="1" x14ac:dyDescent="0.3">
      <c r="A333" s="869" t="s">
        <v>387</v>
      </c>
      <c r="B333" s="870"/>
      <c r="C333" s="871">
        <f t="shared" ref="C333:J333" si="58">SUM(C299:C332)</f>
        <v>183289000.00000003</v>
      </c>
      <c r="D333" s="872">
        <f t="shared" si="58"/>
        <v>243498.91</v>
      </c>
      <c r="E333" s="840">
        <f>SUM(E299:E332)</f>
        <v>165831384.45280337</v>
      </c>
      <c r="F333" s="873">
        <f t="shared" si="58"/>
        <v>145872251.00723338</v>
      </c>
      <c r="G333" s="873">
        <f t="shared" si="58"/>
        <v>127080.25510208361</v>
      </c>
      <c r="H333" s="827">
        <f t="shared" si="58"/>
        <v>54960.909693828246</v>
      </c>
      <c r="I333" s="840">
        <f>SUM(I299:I332)</f>
        <v>165958464.70790547</v>
      </c>
      <c r="J333" s="840">
        <f>SUM(J299:J332)</f>
        <v>145927211.91692722</v>
      </c>
      <c r="L333" s="782" t="s">
        <v>475</v>
      </c>
      <c r="BA333" s="856"/>
      <c r="BB333" s="857"/>
      <c r="BC333" s="857"/>
      <c r="BD333" s="857"/>
    </row>
    <row r="334" spans="1:56" ht="14.25" x14ac:dyDescent="0.25">
      <c r="E334" s="782" t="s">
        <v>475</v>
      </c>
      <c r="BA334" s="856"/>
      <c r="BB334" s="857"/>
      <c r="BC334" s="857"/>
      <c r="BD334" s="857"/>
    </row>
    <row r="335" spans="1:56" ht="14.25" x14ac:dyDescent="0.25">
      <c r="H335" s="782" t="s">
        <v>475</v>
      </c>
      <c r="BA335" s="856"/>
      <c r="BB335" s="857"/>
      <c r="BC335" s="857"/>
      <c r="BD335" s="857"/>
    </row>
    <row r="336" spans="1:56" x14ac:dyDescent="0.25">
      <c r="AW336" s="874"/>
    </row>
    <row r="337" spans="49:49" x14ac:dyDescent="0.25">
      <c r="AW337" s="874"/>
    </row>
    <row r="338" spans="49:49" x14ac:dyDescent="0.25">
      <c r="AW338" s="874"/>
    </row>
    <row r="339" spans="49:49" x14ac:dyDescent="0.25">
      <c r="AW339" s="874"/>
    </row>
    <row r="340" spans="49:49" x14ac:dyDescent="0.25">
      <c r="AW340" s="874"/>
    </row>
    <row r="341" spans="49:49" x14ac:dyDescent="0.25">
      <c r="AW341" s="874"/>
    </row>
    <row r="342" spans="49:49" x14ac:dyDescent="0.25">
      <c r="AW342" s="874"/>
    </row>
  </sheetData>
  <mergeCells count="62">
    <mergeCell ref="C40:C41"/>
    <mergeCell ref="D40:D41"/>
    <mergeCell ref="E40:E41"/>
    <mergeCell ref="C39:E39"/>
    <mergeCell ref="A253:E253"/>
    <mergeCell ref="A255:A257"/>
    <mergeCell ref="B255:B257"/>
    <mergeCell ref="D255:E255"/>
    <mergeCell ref="B183:B185"/>
    <mergeCell ref="B219:B221"/>
    <mergeCell ref="BA6:BC6"/>
    <mergeCell ref="BA7:BC7"/>
    <mergeCell ref="BA8:BC8"/>
    <mergeCell ref="BA9:BC9"/>
    <mergeCell ref="BA10:BB10"/>
    <mergeCell ref="A73:E73"/>
    <mergeCell ref="F39:G39"/>
    <mergeCell ref="A37:G37"/>
    <mergeCell ref="A294:J294"/>
    <mergeCell ref="A39:A41"/>
    <mergeCell ref="B39:B41"/>
    <mergeCell ref="A75:A77"/>
    <mergeCell ref="B75:B77"/>
    <mergeCell ref="A145:E145"/>
    <mergeCell ref="A147:A149"/>
    <mergeCell ref="B147:B149"/>
    <mergeCell ref="D147:E147"/>
    <mergeCell ref="A183:A185"/>
    <mergeCell ref="A217:E217"/>
    <mergeCell ref="A219:A221"/>
    <mergeCell ref="I296:J296"/>
    <mergeCell ref="A296:A298"/>
    <mergeCell ref="B296:B298"/>
    <mergeCell ref="C296:C298"/>
    <mergeCell ref="D296:D298"/>
    <mergeCell ref="E296:F296"/>
    <mergeCell ref="G296:H296"/>
    <mergeCell ref="S75:V75"/>
    <mergeCell ref="G111:H111"/>
    <mergeCell ref="H183:I183"/>
    <mergeCell ref="D219:E219"/>
    <mergeCell ref="A109:H109"/>
    <mergeCell ref="A181:I181"/>
    <mergeCell ref="B111:B113"/>
    <mergeCell ref="A111:A113"/>
    <mergeCell ref="BA16:BB16"/>
    <mergeCell ref="BA17:BB17"/>
    <mergeCell ref="BA18:BB18"/>
    <mergeCell ref="BA20:BD20"/>
    <mergeCell ref="BA11:BB11"/>
    <mergeCell ref="BA12:BB12"/>
    <mergeCell ref="BA13:BB13"/>
    <mergeCell ref="BA14:BB14"/>
    <mergeCell ref="BA15:BB15"/>
    <mergeCell ref="A3:A5"/>
    <mergeCell ref="E3:F3"/>
    <mergeCell ref="A1:F1"/>
    <mergeCell ref="AV1:AY1"/>
    <mergeCell ref="AV2:AY2"/>
    <mergeCell ref="D3:D5"/>
    <mergeCell ref="B3:B5"/>
    <mergeCell ref="C3:C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AJ68"/>
  <sheetViews>
    <sheetView showGridLines="0" zoomScale="80" zoomScaleNormal="80" workbookViewId="0">
      <selection activeCell="C30" sqref="C30"/>
    </sheetView>
  </sheetViews>
  <sheetFormatPr defaultColWidth="12.5703125" defaultRowHeight="12.75" x14ac:dyDescent="0.2"/>
  <cols>
    <col min="1" max="1" width="2.7109375" style="971" customWidth="1"/>
    <col min="2" max="2" width="92.7109375" style="971" customWidth="1"/>
    <col min="3" max="3" width="18.28515625" style="971" customWidth="1"/>
    <col min="4" max="5" width="13.140625" style="971" customWidth="1"/>
    <col min="6" max="6" width="10.7109375" style="971" bestFit="1" customWidth="1"/>
    <col min="7" max="9" width="12.7109375" style="971" bestFit="1" customWidth="1"/>
    <col min="10" max="11" width="13.85546875" style="971" bestFit="1" customWidth="1"/>
    <col min="12" max="12" width="12.7109375" style="971" bestFit="1" customWidth="1"/>
    <col min="13" max="13" width="15.5703125" style="971" bestFit="1" customWidth="1"/>
    <col min="14" max="14" width="12.7109375" style="971" bestFit="1" customWidth="1"/>
    <col min="15" max="16" width="13.140625" style="971" bestFit="1" customWidth="1"/>
    <col min="17" max="17" width="12.28515625" style="971" bestFit="1" customWidth="1"/>
    <col min="18" max="19" width="13.140625" style="971" bestFit="1" customWidth="1"/>
    <col min="20" max="20" width="12.7109375" style="971" bestFit="1" customWidth="1"/>
    <col min="21" max="31" width="12.5703125" style="971"/>
    <col min="32" max="32" width="12.5703125" style="971" customWidth="1"/>
    <col min="33" max="43" width="12.5703125" style="971"/>
    <col min="44" max="44" width="15.5703125" style="971" bestFit="1" customWidth="1"/>
    <col min="45" max="16384" width="12.5703125" style="971"/>
  </cols>
  <sheetData>
    <row r="2" spans="2:7" ht="18.75" x14ac:dyDescent="0.2">
      <c r="B2" s="970" t="s">
        <v>339</v>
      </c>
    </row>
    <row r="3" spans="2:7" s="974" customFormat="1" ht="15" customHeight="1" thickBot="1" x14ac:dyDescent="0.25">
      <c r="B3" s="972"/>
      <c r="C3" s="972"/>
      <c r="D3" s="973"/>
      <c r="E3" s="973"/>
    </row>
    <row r="4" spans="2:7" s="974" customFormat="1" ht="15" customHeight="1" x14ac:dyDescent="0.2">
      <c r="B4" s="1198" t="s">
        <v>480</v>
      </c>
      <c r="C4" s="1199"/>
    </row>
    <row r="5" spans="2:7" s="974" customFormat="1" ht="15" customHeight="1" x14ac:dyDescent="0.2">
      <c r="B5" s="1202" t="s">
        <v>656</v>
      </c>
      <c r="C5" s="1204" t="s">
        <v>554</v>
      </c>
    </row>
    <row r="6" spans="2:7" s="974" customFormat="1" ht="78.75" customHeight="1" thickBot="1" x14ac:dyDescent="0.25">
      <c r="B6" s="1203"/>
      <c r="C6" s="1205"/>
    </row>
    <row r="7" spans="2:7" s="974" customFormat="1" ht="15" customHeight="1" thickTop="1" x14ac:dyDescent="0.25">
      <c r="B7" s="975" t="s">
        <v>648</v>
      </c>
      <c r="C7" s="976">
        <v>20623000</v>
      </c>
      <c r="E7" s="974" t="s">
        <v>475</v>
      </c>
    </row>
    <row r="8" spans="2:7" s="974" customFormat="1" ht="15" customHeight="1" x14ac:dyDescent="0.25">
      <c r="B8" s="975" t="s">
        <v>649</v>
      </c>
      <c r="C8" s="976">
        <v>34009000</v>
      </c>
    </row>
    <row r="9" spans="2:7" s="974" customFormat="1" ht="15" customHeight="1" x14ac:dyDescent="0.25">
      <c r="B9" s="977" t="s">
        <v>650</v>
      </c>
      <c r="C9" s="978">
        <v>17560000</v>
      </c>
    </row>
    <row r="10" spans="2:7" s="974" customFormat="1" ht="15" customHeight="1" x14ac:dyDescent="0.25">
      <c r="B10" s="977" t="s">
        <v>651</v>
      </c>
      <c r="C10" s="978">
        <v>13818000</v>
      </c>
    </row>
    <row r="11" spans="2:7" s="974" customFormat="1" ht="15" customHeight="1" x14ac:dyDescent="0.25">
      <c r="B11" s="977" t="s">
        <v>652</v>
      </c>
      <c r="C11" s="978">
        <v>43910000</v>
      </c>
      <c r="G11" s="974" t="s">
        <v>475</v>
      </c>
    </row>
    <row r="12" spans="2:7" s="974" customFormat="1" ht="15" customHeight="1" x14ac:dyDescent="0.25">
      <c r="B12" s="977" t="s">
        <v>653</v>
      </c>
      <c r="C12" s="978">
        <v>28830000</v>
      </c>
    </row>
    <row r="13" spans="2:7" s="974" customFormat="1" ht="15" customHeight="1" x14ac:dyDescent="0.25">
      <c r="B13" s="977" t="s">
        <v>654</v>
      </c>
      <c r="C13" s="978">
        <v>19465000</v>
      </c>
    </row>
    <row r="14" spans="2:7" s="974" customFormat="1" ht="15" customHeight="1" x14ac:dyDescent="0.25">
      <c r="B14" s="979" t="s">
        <v>551</v>
      </c>
      <c r="C14" s="978">
        <v>5074000</v>
      </c>
    </row>
    <row r="15" spans="2:7" s="974" customFormat="1" ht="15.75" thickBot="1" x14ac:dyDescent="0.3">
      <c r="B15" s="980" t="s">
        <v>234</v>
      </c>
      <c r="C15" s="981">
        <f>SUM(C7:C14)</f>
        <v>183289000</v>
      </c>
    </row>
    <row r="16" spans="2:7" s="974" customFormat="1" ht="15" customHeight="1" x14ac:dyDescent="0.2">
      <c r="B16" s="677" t="s">
        <v>646</v>
      </c>
      <c r="C16" s="972"/>
      <c r="D16" s="973"/>
      <c r="E16" s="973" t="s">
        <v>475</v>
      </c>
    </row>
    <row r="17" spans="1:36" s="974" customFormat="1" ht="15" customHeight="1" x14ac:dyDescent="0.2">
      <c r="B17" s="677"/>
      <c r="C17" s="972"/>
      <c r="D17" s="973"/>
      <c r="E17" s="973"/>
    </row>
    <row r="18" spans="1:36" ht="15.75" x14ac:dyDescent="0.2">
      <c r="B18" s="1206" t="s">
        <v>656</v>
      </c>
      <c r="C18" s="1206" t="s">
        <v>552</v>
      </c>
      <c r="D18" s="1207" t="s">
        <v>427</v>
      </c>
      <c r="E18" s="1207"/>
      <c r="F18" s="1206" t="s">
        <v>655</v>
      </c>
      <c r="G18" s="1197" t="s">
        <v>428</v>
      </c>
      <c r="H18" s="1197"/>
      <c r="I18" s="1197"/>
      <c r="J18" s="1197"/>
      <c r="K18" s="1197"/>
      <c r="L18" s="1197"/>
      <c r="M18" s="1197"/>
      <c r="N18" s="982"/>
      <c r="O18" s="982"/>
      <c r="P18" s="982"/>
      <c r="Q18" s="982"/>
      <c r="R18" s="982"/>
      <c r="S18" s="982"/>
      <c r="T18" s="982"/>
      <c r="U18" s="982"/>
      <c r="V18" s="982"/>
    </row>
    <row r="19" spans="1:36" ht="15.75" x14ac:dyDescent="0.2">
      <c r="B19" s="1206"/>
      <c r="C19" s="1206"/>
      <c r="D19" s="983" t="s">
        <v>429</v>
      </c>
      <c r="E19" s="983" t="s">
        <v>430</v>
      </c>
      <c r="F19" s="1206" t="s">
        <v>553</v>
      </c>
      <c r="G19" s="984">
        <v>2017</v>
      </c>
      <c r="H19" s="984">
        <f>G19+1</f>
        <v>2018</v>
      </c>
      <c r="I19" s="984">
        <f>H19+1</f>
        <v>2019</v>
      </c>
      <c r="J19" s="984">
        <f>I19+1</f>
        <v>2020</v>
      </c>
      <c r="K19" s="984">
        <f>J19+1</f>
        <v>2021</v>
      </c>
      <c r="L19" s="984">
        <f>K19+1</f>
        <v>2022</v>
      </c>
      <c r="M19" s="984" t="s">
        <v>431</v>
      </c>
      <c r="N19" s="477"/>
      <c r="O19" s="477"/>
      <c r="P19" s="477"/>
      <c r="Q19" s="477"/>
      <c r="R19" s="477"/>
      <c r="S19" s="477"/>
      <c r="T19" s="477"/>
      <c r="U19" s="477"/>
      <c r="V19" s="477"/>
    </row>
    <row r="20" spans="1:36" ht="15" x14ac:dyDescent="0.25">
      <c r="B20" s="975" t="s">
        <v>648</v>
      </c>
      <c r="C20" s="985">
        <v>43104</v>
      </c>
      <c r="D20" s="985">
        <v>43927</v>
      </c>
      <c r="E20" s="985">
        <v>44351</v>
      </c>
      <c r="F20" s="986">
        <v>14</v>
      </c>
      <c r="G20" s="987"/>
      <c r="H20" s="987"/>
      <c r="I20" s="987"/>
      <c r="J20" s="987">
        <f>(C7/F20)*9</f>
        <v>13257642.857142858</v>
      </c>
      <c r="K20" s="987">
        <f>(C7/F20)*5</f>
        <v>7365357.1428571437</v>
      </c>
      <c r="L20" s="987"/>
      <c r="M20" s="987">
        <f t="shared" ref="M20:M28" si="0">SUM(G20:L20)</f>
        <v>20623000</v>
      </c>
      <c r="N20" s="477"/>
      <c r="O20" s="477"/>
      <c r="P20" s="477"/>
      <c r="Q20" s="477"/>
      <c r="R20" s="477"/>
      <c r="S20" s="477"/>
      <c r="T20" s="477"/>
      <c r="U20" s="477"/>
      <c r="V20" s="477"/>
    </row>
    <row r="21" spans="1:36" ht="15" x14ac:dyDescent="0.25">
      <c r="B21" s="975" t="s">
        <v>649</v>
      </c>
      <c r="C21" s="985">
        <v>43104</v>
      </c>
      <c r="D21" s="985">
        <v>44019</v>
      </c>
      <c r="E21" s="985">
        <v>44678</v>
      </c>
      <c r="F21" s="986">
        <v>22</v>
      </c>
      <c r="G21" s="987"/>
      <c r="H21" s="987"/>
      <c r="I21" s="987"/>
      <c r="J21" s="987">
        <f>(C8/F21)*6</f>
        <v>9275181.8181818184</v>
      </c>
      <c r="K21" s="987">
        <f>(C8/F21)*12</f>
        <v>18550363.636363637</v>
      </c>
      <c r="L21" s="987">
        <f>(C8/F21)*4</f>
        <v>6183454.5454545459</v>
      </c>
      <c r="M21" s="987">
        <f t="shared" si="0"/>
        <v>34009000</v>
      </c>
      <c r="N21" s="477"/>
      <c r="O21" s="477"/>
      <c r="P21" s="477"/>
      <c r="Q21" s="477"/>
      <c r="R21" s="477"/>
      <c r="S21" s="477"/>
      <c r="T21" s="477"/>
      <c r="U21" s="477"/>
      <c r="V21" s="477"/>
    </row>
    <row r="22" spans="1:36" ht="15" x14ac:dyDescent="0.25">
      <c r="A22" s="971" t="s">
        <v>475</v>
      </c>
      <c r="B22" s="977" t="s">
        <v>650</v>
      </c>
      <c r="C22" s="985">
        <v>43104</v>
      </c>
      <c r="D22" s="985">
        <v>43896</v>
      </c>
      <c r="E22" s="985">
        <v>44138</v>
      </c>
      <c r="F22" s="986">
        <v>8</v>
      </c>
      <c r="G22" s="987"/>
      <c r="H22" s="987"/>
      <c r="I22" s="987"/>
      <c r="J22" s="987">
        <f>(C9/F22)*8</f>
        <v>17560000</v>
      </c>
      <c r="K22" s="987"/>
      <c r="L22" s="987"/>
      <c r="M22" s="987">
        <f t="shared" si="0"/>
        <v>17560000</v>
      </c>
      <c r="N22" s="477"/>
      <c r="O22" s="477"/>
      <c r="P22" s="477"/>
      <c r="Q22" s="477"/>
      <c r="R22" s="477"/>
      <c r="S22" s="477"/>
      <c r="T22" s="477"/>
      <c r="U22" s="477"/>
      <c r="V22" s="477"/>
    </row>
    <row r="23" spans="1:36" ht="15" x14ac:dyDescent="0.25">
      <c r="B23" s="977" t="s">
        <v>651</v>
      </c>
      <c r="C23" s="985">
        <v>43287</v>
      </c>
      <c r="D23" s="985">
        <v>44139</v>
      </c>
      <c r="E23" s="985">
        <v>44658</v>
      </c>
      <c r="F23" s="986">
        <v>17</v>
      </c>
      <c r="G23" s="987"/>
      <c r="H23" s="987"/>
      <c r="I23" s="987"/>
      <c r="J23" s="987">
        <f>(C10/F23)*2</f>
        <v>1625647.0588235294</v>
      </c>
      <c r="K23" s="987">
        <f>(C10/F23)*12</f>
        <v>9753882.3529411759</v>
      </c>
      <c r="L23" s="987">
        <f>(C10/F23)*3</f>
        <v>2438470.588235294</v>
      </c>
      <c r="M23" s="987">
        <f t="shared" si="0"/>
        <v>13818000</v>
      </c>
      <c r="N23" s="477"/>
      <c r="O23" s="477"/>
      <c r="P23" s="477"/>
      <c r="Q23" s="477"/>
      <c r="R23" s="477"/>
      <c r="S23" s="477"/>
      <c r="T23" s="477"/>
      <c r="U23" s="477"/>
      <c r="V23" s="477"/>
    </row>
    <row r="24" spans="1:36" ht="15" customHeight="1" x14ac:dyDescent="0.25">
      <c r="B24" s="977" t="s">
        <v>652</v>
      </c>
      <c r="C24" s="985">
        <v>43104</v>
      </c>
      <c r="D24" s="985">
        <v>43957</v>
      </c>
      <c r="E24" s="985">
        <v>44382</v>
      </c>
      <c r="F24" s="986">
        <v>14</v>
      </c>
      <c r="G24" s="987"/>
      <c r="H24" s="987"/>
      <c r="I24" s="987"/>
      <c r="J24" s="987">
        <f>(C11/F24)*8</f>
        <v>25091428.571428571</v>
      </c>
      <c r="K24" s="987">
        <f>(C11/F24)*6</f>
        <v>18818571.428571429</v>
      </c>
      <c r="L24" s="987"/>
      <c r="M24" s="987">
        <f t="shared" si="0"/>
        <v>43910000</v>
      </c>
      <c r="N24" s="982"/>
      <c r="O24" s="982"/>
      <c r="P24" s="982"/>
      <c r="Q24" s="982"/>
      <c r="R24" s="982"/>
      <c r="S24" s="982"/>
      <c r="T24" s="982"/>
      <c r="U24" s="982"/>
      <c r="V24" s="982"/>
      <c r="AJ24" s="971" t="s">
        <v>475</v>
      </c>
    </row>
    <row r="25" spans="1:36" ht="15" x14ac:dyDescent="0.25">
      <c r="B25" s="977" t="s">
        <v>653</v>
      </c>
      <c r="C25" s="985">
        <v>43473</v>
      </c>
      <c r="D25" s="985">
        <v>44323</v>
      </c>
      <c r="E25" s="985">
        <v>44923</v>
      </c>
      <c r="F25" s="986">
        <v>20</v>
      </c>
      <c r="G25" s="987"/>
      <c r="H25" s="987"/>
      <c r="I25" s="987"/>
      <c r="J25" s="987">
        <f>(C12/F25)*8</f>
        <v>11532000</v>
      </c>
      <c r="K25" s="987">
        <f>(C12/F25)*12</f>
        <v>17298000</v>
      </c>
      <c r="L25" s="987"/>
      <c r="M25" s="987">
        <f t="shared" si="0"/>
        <v>28830000</v>
      </c>
      <c r="N25" s="982"/>
      <c r="O25" s="982"/>
      <c r="P25" s="982"/>
      <c r="Q25" s="982"/>
      <c r="R25" s="982"/>
      <c r="S25" s="982"/>
      <c r="T25" s="982"/>
      <c r="U25" s="982"/>
      <c r="V25" s="982"/>
    </row>
    <row r="26" spans="1:36" ht="15" x14ac:dyDescent="0.25">
      <c r="B26" s="977" t="s">
        <v>654</v>
      </c>
      <c r="C26" s="985">
        <v>42922</v>
      </c>
      <c r="D26" s="985">
        <v>43746</v>
      </c>
      <c r="E26" s="985">
        <v>44029</v>
      </c>
      <c r="F26" s="986">
        <v>9</v>
      </c>
      <c r="G26" s="987"/>
      <c r="H26" s="987"/>
      <c r="I26" s="987">
        <f>(C13/F26)*3</f>
        <v>6488333.333333334</v>
      </c>
      <c r="J26" s="987">
        <f>(C13/F26)*6</f>
        <v>12976666.666666668</v>
      </c>
      <c r="K26" s="987"/>
      <c r="L26" s="987"/>
      <c r="M26" s="987">
        <f t="shared" si="0"/>
        <v>19465000</v>
      </c>
      <c r="N26" s="982"/>
      <c r="O26" s="982"/>
      <c r="P26" s="982"/>
      <c r="Q26" s="982"/>
      <c r="R26" s="982"/>
      <c r="S26" s="982"/>
      <c r="T26" s="982"/>
      <c r="U26" s="982"/>
      <c r="V26" s="982"/>
    </row>
    <row r="27" spans="1:36" ht="15" x14ac:dyDescent="0.25">
      <c r="B27" s="979" t="s">
        <v>551</v>
      </c>
      <c r="C27" s="988"/>
      <c r="D27" s="989"/>
      <c r="E27" s="989"/>
      <c r="F27" s="988"/>
      <c r="G27" s="987">
        <f>C14/3</f>
        <v>1691333.3333333333</v>
      </c>
      <c r="H27" s="987">
        <f>C14/3</f>
        <v>1691333.3333333333</v>
      </c>
      <c r="I27" s="987">
        <f>C14/3</f>
        <v>1691333.3333333333</v>
      </c>
      <c r="J27" s="987"/>
      <c r="K27" s="987"/>
      <c r="L27" s="987"/>
      <c r="M27" s="987">
        <f t="shared" si="0"/>
        <v>5074000</v>
      </c>
      <c r="N27" s="982" t="s">
        <v>475</v>
      </c>
      <c r="O27" s="982"/>
      <c r="P27" s="982"/>
      <c r="Q27" s="982"/>
      <c r="R27" s="982"/>
      <c r="S27" s="982"/>
      <c r="T27" s="982"/>
      <c r="U27" s="982"/>
      <c r="V27" s="982"/>
    </row>
    <row r="28" spans="1:36" ht="15" x14ac:dyDescent="0.25">
      <c r="B28" s="1208" t="s">
        <v>432</v>
      </c>
      <c r="C28" s="1209"/>
      <c r="D28" s="1209"/>
      <c r="E28" s="1209"/>
      <c r="F28" s="1210"/>
      <c r="G28" s="987">
        <f t="shared" ref="G28:L28" si="1">SUM(G20:G27)</f>
        <v>1691333.3333333333</v>
      </c>
      <c r="H28" s="987">
        <f t="shared" si="1"/>
        <v>1691333.3333333333</v>
      </c>
      <c r="I28" s="987">
        <f t="shared" si="1"/>
        <v>8179666.666666667</v>
      </c>
      <c r="J28" s="987">
        <f t="shared" si="1"/>
        <v>91318566.972243443</v>
      </c>
      <c r="K28" s="987">
        <f t="shared" si="1"/>
        <v>71786174.560733393</v>
      </c>
      <c r="L28" s="987">
        <f t="shared" si="1"/>
        <v>8621925.1336898394</v>
      </c>
      <c r="M28" s="987">
        <f t="shared" si="0"/>
        <v>183289000.00000003</v>
      </c>
      <c r="N28" s="982"/>
      <c r="O28" s="982" t="s">
        <v>475</v>
      </c>
      <c r="P28" s="982"/>
      <c r="Q28" s="982"/>
      <c r="R28" s="982"/>
      <c r="S28" s="982"/>
      <c r="T28" s="982"/>
      <c r="U28" s="982"/>
      <c r="V28" s="982"/>
    </row>
    <row r="29" spans="1:36" ht="18" customHeight="1" x14ac:dyDescent="0.2">
      <c r="B29" s="1200" t="s">
        <v>809</v>
      </c>
      <c r="C29" s="1201"/>
      <c r="D29" s="1201"/>
      <c r="E29" s="1201"/>
      <c r="F29" s="1201"/>
      <c r="G29" s="1201"/>
      <c r="H29" s="1201"/>
      <c r="I29" s="1201"/>
      <c r="J29" s="1201"/>
      <c r="K29" s="1201"/>
      <c r="L29" s="982"/>
      <c r="M29" s="982"/>
      <c r="N29" s="982"/>
      <c r="O29" s="982"/>
      <c r="P29" s="982"/>
      <c r="Q29" s="982"/>
      <c r="R29" s="982"/>
      <c r="S29" s="982"/>
      <c r="T29" s="982"/>
      <c r="U29" s="982"/>
    </row>
    <row r="31" spans="1:36" ht="15" x14ac:dyDescent="0.2">
      <c r="B31" s="990"/>
      <c r="C31" s="991"/>
      <c r="D31" s="990"/>
      <c r="E31" s="972"/>
      <c r="H31" s="972"/>
      <c r="I31" s="972" t="s">
        <v>475</v>
      </c>
      <c r="J31" s="972" t="s">
        <v>475</v>
      </c>
      <c r="K31" s="972"/>
      <c r="L31" s="972"/>
    </row>
    <row r="32" spans="1:36" x14ac:dyDescent="0.2">
      <c r="AF32" s="982"/>
      <c r="AG32" s="982"/>
      <c r="AH32" s="982"/>
    </row>
    <row r="35" spans="13:13" ht="15" x14ac:dyDescent="0.2">
      <c r="M35" s="570"/>
    </row>
    <row r="36" spans="13:13" ht="25.5" customHeight="1" x14ac:dyDescent="0.2">
      <c r="M36" s="762"/>
    </row>
    <row r="37" spans="13:13" ht="38.25" customHeight="1" x14ac:dyDescent="0.2">
      <c r="M37" s="763"/>
    </row>
    <row r="38" spans="13:13" ht="15" x14ac:dyDescent="0.2">
      <c r="M38" s="764"/>
    </row>
    <row r="39" spans="13:13" ht="15" x14ac:dyDescent="0.2">
      <c r="M39" s="992"/>
    </row>
    <row r="40" spans="13:13" ht="15" x14ac:dyDescent="0.2">
      <c r="M40" s="992"/>
    </row>
    <row r="41" spans="13:13" ht="15" x14ac:dyDescent="0.2">
      <c r="M41" s="992"/>
    </row>
    <row r="42" spans="13:13" ht="15" x14ac:dyDescent="0.2">
      <c r="M42" s="992"/>
    </row>
    <row r="43" spans="13:13" ht="15" x14ac:dyDescent="0.2">
      <c r="M43" s="992"/>
    </row>
    <row r="44" spans="13:13" ht="15" x14ac:dyDescent="0.2">
      <c r="M44" s="992"/>
    </row>
    <row r="45" spans="13:13" ht="15" x14ac:dyDescent="0.2">
      <c r="M45" s="992"/>
    </row>
    <row r="46" spans="13:13" ht="15" x14ac:dyDescent="0.2">
      <c r="M46" s="992"/>
    </row>
    <row r="47" spans="13:13" ht="15" x14ac:dyDescent="0.2">
      <c r="M47" s="992"/>
    </row>
    <row r="48" spans="13:13" ht="15" x14ac:dyDescent="0.2">
      <c r="M48" s="992"/>
    </row>
    <row r="49" spans="13:13" ht="15" x14ac:dyDescent="0.2">
      <c r="M49" s="992"/>
    </row>
    <row r="50" spans="13:13" ht="15" x14ac:dyDescent="0.2">
      <c r="M50" s="992"/>
    </row>
    <row r="51" spans="13:13" ht="15" x14ac:dyDescent="0.2">
      <c r="M51" s="992"/>
    </row>
    <row r="52" spans="13:13" ht="15" x14ac:dyDescent="0.2">
      <c r="M52" s="992"/>
    </row>
    <row r="53" spans="13:13" ht="15" x14ac:dyDescent="0.2">
      <c r="M53" s="992"/>
    </row>
    <row r="54" spans="13:13" ht="15" x14ac:dyDescent="0.2">
      <c r="M54" s="992"/>
    </row>
    <row r="55" spans="13:13" ht="15" x14ac:dyDescent="0.2">
      <c r="M55" s="992"/>
    </row>
    <row r="56" spans="13:13" ht="15" x14ac:dyDescent="0.2">
      <c r="M56" s="992"/>
    </row>
    <row r="57" spans="13:13" ht="15" x14ac:dyDescent="0.2">
      <c r="M57" s="992"/>
    </row>
    <row r="58" spans="13:13" ht="15" x14ac:dyDescent="0.2">
      <c r="M58" s="992"/>
    </row>
    <row r="59" spans="13:13" ht="15" x14ac:dyDescent="0.2">
      <c r="M59" s="992"/>
    </row>
    <row r="60" spans="13:13" ht="15" x14ac:dyDescent="0.2">
      <c r="M60" s="992"/>
    </row>
    <row r="61" spans="13:13" ht="15" x14ac:dyDescent="0.2">
      <c r="M61" s="992"/>
    </row>
    <row r="62" spans="13:13" ht="15" x14ac:dyDescent="0.2">
      <c r="M62" s="992"/>
    </row>
    <row r="63" spans="13:13" ht="15" x14ac:dyDescent="0.2">
      <c r="M63" s="992"/>
    </row>
    <row r="64" spans="13:13" ht="15" x14ac:dyDescent="0.2">
      <c r="M64" s="992"/>
    </row>
    <row r="65" spans="13:13" ht="15" x14ac:dyDescent="0.2">
      <c r="M65" s="992"/>
    </row>
    <row r="66" spans="13:13" ht="15" x14ac:dyDescent="0.2">
      <c r="M66" s="992"/>
    </row>
    <row r="67" spans="13:13" ht="15" x14ac:dyDescent="0.2">
      <c r="M67" s="992"/>
    </row>
    <row r="68" spans="13:13" ht="15" x14ac:dyDescent="0.2">
      <c r="M68" s="765"/>
    </row>
  </sheetData>
  <mergeCells count="10">
    <mergeCell ref="G18:M18"/>
    <mergeCell ref="B4:C4"/>
    <mergeCell ref="B29:K29"/>
    <mergeCell ref="B5:B6"/>
    <mergeCell ref="C5:C6"/>
    <mergeCell ref="B18:B19"/>
    <mergeCell ref="D18:E18"/>
    <mergeCell ref="C18:C19"/>
    <mergeCell ref="F18:F19"/>
    <mergeCell ref="B28:F28"/>
  </mergeCells>
  <pageMargins left="0.75" right="0.75" top="1" bottom="1" header="0.5" footer="0.5"/>
  <pageSetup orientation="portrait" horizontalDpi="4294967292" verticalDpi="4294967292" r:id="rId1"/>
  <ignoredErrors>
    <ignoredError sqref="J23:K24"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H57"/>
  <sheetViews>
    <sheetView zoomScale="80" zoomScaleNormal="80" workbookViewId="0">
      <selection activeCell="I24" sqref="I24"/>
    </sheetView>
  </sheetViews>
  <sheetFormatPr defaultRowHeight="12.75" x14ac:dyDescent="0.25"/>
  <cols>
    <col min="1" max="1" width="3.5703125" style="1339" customWidth="1"/>
    <col min="2" max="2" width="13.42578125" style="1340" customWidth="1"/>
    <col min="3" max="8" width="13.28515625" style="1339" customWidth="1"/>
    <col min="9" max="9" width="13.7109375" style="1339" customWidth="1"/>
    <col min="10" max="10" width="16.5703125" style="1339" customWidth="1"/>
    <col min="11" max="11" width="19.5703125" style="1339" customWidth="1"/>
    <col min="12" max="12" width="16.7109375" style="1339" customWidth="1"/>
    <col min="13" max="23" width="12.7109375" style="1339" customWidth="1"/>
    <col min="24" max="24" width="2.7109375" style="1339" customWidth="1"/>
    <col min="25" max="45" width="15.7109375" style="1339" customWidth="1"/>
    <col min="46" max="46" width="4.140625" style="1339" customWidth="1"/>
    <col min="47" max="67" width="15.7109375" style="1339" customWidth="1"/>
    <col min="68" max="16384" width="9.140625" style="1339"/>
  </cols>
  <sheetData>
    <row r="2" spans="2:7" ht="18.75" x14ac:dyDescent="0.25">
      <c r="B2" s="1338" t="str">
        <f>'About the Spreadsheet Tabs'!$B$3</f>
        <v>Benefit-Cost Assessment Spreadsheet for Access I-95: Driving Baltimore's City Development</v>
      </c>
    </row>
    <row r="3" spans="2:7" ht="18.75" x14ac:dyDescent="0.25">
      <c r="B3" s="1338" t="s">
        <v>644</v>
      </c>
    </row>
    <row r="4" spans="2:7" ht="25.5" customHeight="1" x14ac:dyDescent="0.25"/>
    <row r="5" spans="2:7" s="1341" customFormat="1" x14ac:dyDescent="0.25">
      <c r="B5" s="1400"/>
      <c r="C5" s="1163" t="s">
        <v>645</v>
      </c>
      <c r="D5" s="1163" t="s">
        <v>482</v>
      </c>
    </row>
    <row r="6" spans="2:7" s="1341" customFormat="1" x14ac:dyDescent="0.2">
      <c r="B6" s="1340">
        <v>2017</v>
      </c>
      <c r="C6" s="1342">
        <v>243498.91</v>
      </c>
      <c r="D6" s="1342">
        <v>0</v>
      </c>
    </row>
    <row r="7" spans="2:7" s="1341" customFormat="1" x14ac:dyDescent="0.2">
      <c r="B7" s="1340">
        <v>2018</v>
      </c>
      <c r="C7" s="1342">
        <v>0</v>
      </c>
      <c r="D7" s="1342">
        <v>0</v>
      </c>
    </row>
    <row r="8" spans="2:7" s="1341" customFormat="1" x14ac:dyDescent="0.2">
      <c r="B8" s="1340">
        <v>2019</v>
      </c>
      <c r="C8" s="1342">
        <v>0</v>
      </c>
      <c r="D8" s="1342">
        <v>0</v>
      </c>
    </row>
    <row r="9" spans="2:7" s="1341" customFormat="1" x14ac:dyDescent="0.2">
      <c r="B9" s="1340">
        <v>2020</v>
      </c>
      <c r="C9" s="1342">
        <v>0</v>
      </c>
      <c r="D9" s="1342">
        <v>0</v>
      </c>
    </row>
    <row r="10" spans="2:7" s="1341" customFormat="1" x14ac:dyDescent="0.2">
      <c r="B10" s="1340">
        <v>2021</v>
      </c>
      <c r="C10" s="1342">
        <v>0</v>
      </c>
      <c r="D10" s="1342">
        <v>0</v>
      </c>
    </row>
    <row r="11" spans="2:7" s="1341" customFormat="1" x14ac:dyDescent="0.2">
      <c r="B11" s="1340">
        <v>2022</v>
      </c>
      <c r="C11" s="1342">
        <v>0</v>
      </c>
      <c r="D11" s="1342">
        <v>0</v>
      </c>
    </row>
    <row r="12" spans="2:7" s="1341" customFormat="1" x14ac:dyDescent="0.2">
      <c r="B12" s="1340">
        <v>2023</v>
      </c>
      <c r="C12" s="1342">
        <v>0</v>
      </c>
      <c r="D12" s="1342">
        <v>0</v>
      </c>
    </row>
    <row r="13" spans="2:7" s="1341" customFormat="1" x14ac:dyDescent="0.2">
      <c r="B13" s="1340">
        <v>2024</v>
      </c>
      <c r="C13" s="1342">
        <v>0</v>
      </c>
      <c r="D13" s="1342">
        <v>0</v>
      </c>
    </row>
    <row r="14" spans="2:7" s="1341" customFormat="1" x14ac:dyDescent="0.2">
      <c r="B14" s="1340">
        <v>2025</v>
      </c>
      <c r="C14" s="1342">
        <v>0</v>
      </c>
      <c r="D14" s="1342">
        <v>0</v>
      </c>
    </row>
    <row r="15" spans="2:7" x14ac:dyDescent="0.2">
      <c r="B15" s="1340">
        <v>2026</v>
      </c>
      <c r="C15" s="1342">
        <v>0</v>
      </c>
      <c r="D15" s="1342">
        <v>0</v>
      </c>
      <c r="G15" s="1339" t="s">
        <v>475</v>
      </c>
    </row>
    <row r="16" spans="2:7" x14ac:dyDescent="0.2">
      <c r="B16" s="1340">
        <v>2027</v>
      </c>
      <c r="C16" s="1342">
        <v>0</v>
      </c>
      <c r="D16" s="1342">
        <v>0</v>
      </c>
    </row>
    <row r="17" spans="2:8" x14ac:dyDescent="0.2">
      <c r="B17" s="1340">
        <v>2028</v>
      </c>
      <c r="C17" s="1342">
        <v>0</v>
      </c>
      <c r="D17" s="1342">
        <v>0</v>
      </c>
      <c r="F17" s="1339" t="s">
        <v>475</v>
      </c>
    </row>
    <row r="18" spans="2:8" x14ac:dyDescent="0.2">
      <c r="B18" s="1340">
        <v>2029</v>
      </c>
      <c r="C18" s="1342">
        <v>0</v>
      </c>
      <c r="D18" s="1342">
        <v>0</v>
      </c>
    </row>
    <row r="19" spans="2:8" x14ac:dyDescent="0.2">
      <c r="B19" s="1340">
        <v>2030</v>
      </c>
      <c r="C19" s="1342">
        <v>0</v>
      </c>
      <c r="D19" s="1342">
        <v>0</v>
      </c>
    </row>
    <row r="20" spans="2:8" x14ac:dyDescent="0.2">
      <c r="B20" s="1340">
        <v>2031</v>
      </c>
      <c r="C20" s="1342">
        <v>0</v>
      </c>
      <c r="D20" s="1342">
        <v>0</v>
      </c>
    </row>
    <row r="21" spans="2:8" x14ac:dyDescent="0.2">
      <c r="B21" s="1340">
        <v>2032</v>
      </c>
      <c r="C21" s="1342">
        <v>243498.91</v>
      </c>
      <c r="D21" s="1342">
        <v>0</v>
      </c>
    </row>
    <row r="22" spans="2:8" x14ac:dyDescent="0.2">
      <c r="B22" s="1340">
        <v>2033</v>
      </c>
      <c r="C22" s="1342">
        <v>0</v>
      </c>
      <c r="D22" s="1342">
        <v>0</v>
      </c>
    </row>
    <row r="23" spans="2:8" x14ac:dyDescent="0.2">
      <c r="B23" s="1340">
        <v>2034</v>
      </c>
      <c r="C23" s="1342">
        <v>0</v>
      </c>
      <c r="D23" s="1342">
        <v>0</v>
      </c>
      <c r="H23" s="1339" t="s">
        <v>475</v>
      </c>
    </row>
    <row r="24" spans="2:8" x14ac:dyDescent="0.2">
      <c r="B24" s="1340">
        <v>2035</v>
      </c>
      <c r="C24" s="1342">
        <v>0</v>
      </c>
      <c r="D24" s="1342">
        <v>0</v>
      </c>
    </row>
    <row r="25" spans="2:8" x14ac:dyDescent="0.2">
      <c r="B25" s="1340">
        <v>2036</v>
      </c>
      <c r="C25" s="1342">
        <v>0</v>
      </c>
      <c r="D25" s="1342">
        <v>0</v>
      </c>
    </row>
    <row r="26" spans="2:8" x14ac:dyDescent="0.2">
      <c r="B26" s="1340">
        <v>2037</v>
      </c>
      <c r="C26" s="1342">
        <v>0</v>
      </c>
      <c r="D26" s="1342">
        <v>0</v>
      </c>
    </row>
    <row r="27" spans="2:8" x14ac:dyDescent="0.2">
      <c r="B27" s="1340">
        <v>2038</v>
      </c>
      <c r="C27" s="1342">
        <v>0</v>
      </c>
      <c r="D27" s="1342">
        <v>0</v>
      </c>
    </row>
    <row r="28" spans="2:8" x14ac:dyDescent="0.2">
      <c r="B28" s="1340">
        <v>2039</v>
      </c>
      <c r="C28" s="1342">
        <v>0</v>
      </c>
      <c r="D28" s="1342">
        <v>0</v>
      </c>
    </row>
    <row r="29" spans="2:8" x14ac:dyDescent="0.2">
      <c r="B29" s="1340">
        <v>2040</v>
      </c>
      <c r="C29" s="1342">
        <v>0</v>
      </c>
      <c r="D29" s="1342">
        <v>243498.91</v>
      </c>
    </row>
    <row r="30" spans="2:8" x14ac:dyDescent="0.2">
      <c r="B30" s="1340">
        <v>2041</v>
      </c>
      <c r="C30" s="1342">
        <v>0</v>
      </c>
      <c r="D30" s="1342">
        <v>0</v>
      </c>
    </row>
    <row r="31" spans="2:8" x14ac:dyDescent="0.2">
      <c r="B31" s="1340">
        <v>2042</v>
      </c>
      <c r="C31" s="1342">
        <v>0</v>
      </c>
      <c r="D31" s="1342">
        <v>0</v>
      </c>
    </row>
    <row r="32" spans="2:8" x14ac:dyDescent="0.2">
      <c r="B32" s="1340">
        <v>2043</v>
      </c>
      <c r="C32" s="1342">
        <v>0</v>
      </c>
      <c r="D32" s="1342">
        <v>0</v>
      </c>
    </row>
    <row r="33" spans="2:7" x14ac:dyDescent="0.2">
      <c r="B33" s="1340">
        <v>2044</v>
      </c>
      <c r="C33" s="1342">
        <v>0</v>
      </c>
      <c r="D33" s="1342">
        <v>0</v>
      </c>
    </row>
    <row r="34" spans="2:7" x14ac:dyDescent="0.2">
      <c r="B34" s="1340">
        <v>2045</v>
      </c>
      <c r="C34" s="1342">
        <v>0</v>
      </c>
      <c r="D34" s="1342">
        <v>0</v>
      </c>
    </row>
    <row r="35" spans="2:7" x14ac:dyDescent="0.2">
      <c r="B35" s="1340">
        <v>2046</v>
      </c>
      <c r="C35" s="1342">
        <v>0</v>
      </c>
      <c r="D35" s="1342">
        <v>0</v>
      </c>
    </row>
    <row r="36" spans="2:7" x14ac:dyDescent="0.2">
      <c r="B36" s="1340">
        <v>2047</v>
      </c>
      <c r="C36" s="1342">
        <v>243498.91</v>
      </c>
      <c r="D36" s="1342">
        <v>0</v>
      </c>
    </row>
    <row r="37" spans="2:7" x14ac:dyDescent="0.2">
      <c r="B37" s="1340">
        <v>2048</v>
      </c>
      <c r="C37" s="1342">
        <v>0</v>
      </c>
      <c r="D37" s="1342">
        <v>0</v>
      </c>
    </row>
    <row r="38" spans="2:7" x14ac:dyDescent="0.2">
      <c r="B38" s="1340">
        <v>2049</v>
      </c>
      <c r="C38" s="1342">
        <v>0</v>
      </c>
      <c r="D38" s="1342">
        <v>0</v>
      </c>
    </row>
    <row r="39" spans="2:7" x14ac:dyDescent="0.2">
      <c r="B39" s="1340">
        <v>2050</v>
      </c>
      <c r="C39" s="1342">
        <v>0</v>
      </c>
      <c r="D39" s="1342">
        <v>0</v>
      </c>
    </row>
    <row r="40" spans="2:7" x14ac:dyDescent="0.2">
      <c r="B40" s="1340">
        <v>2051</v>
      </c>
      <c r="C40" s="1342">
        <v>0</v>
      </c>
      <c r="D40" s="1342">
        <v>0</v>
      </c>
    </row>
    <row r="41" spans="2:7" x14ac:dyDescent="0.2">
      <c r="B41" s="1340">
        <v>2052</v>
      </c>
      <c r="C41" s="1342">
        <v>0</v>
      </c>
      <c r="D41" s="1342">
        <v>0</v>
      </c>
    </row>
    <row r="42" spans="2:7" x14ac:dyDescent="0.2">
      <c r="B42" s="1340">
        <v>2053</v>
      </c>
      <c r="C42" s="1342">
        <v>0</v>
      </c>
      <c r="D42" s="1342">
        <v>0</v>
      </c>
    </row>
    <row r="43" spans="2:7" x14ac:dyDescent="0.2">
      <c r="B43" s="1340">
        <v>2054</v>
      </c>
      <c r="C43" s="1342">
        <v>0</v>
      </c>
      <c r="D43" s="1342">
        <v>0</v>
      </c>
    </row>
    <row r="44" spans="2:7" x14ac:dyDescent="0.2">
      <c r="B44" s="1340">
        <v>2055</v>
      </c>
      <c r="C44" s="1342">
        <v>0</v>
      </c>
      <c r="D44" s="1342">
        <v>243498.91</v>
      </c>
      <c r="E44" s="1342"/>
    </row>
    <row r="45" spans="2:7" x14ac:dyDescent="0.2">
      <c r="B45" s="1340">
        <v>2056</v>
      </c>
      <c r="C45" s="1342">
        <v>0</v>
      </c>
      <c r="D45" s="1342">
        <v>0</v>
      </c>
      <c r="E45" s="1342"/>
    </row>
    <row r="46" spans="2:7" x14ac:dyDescent="0.2">
      <c r="B46" s="1340">
        <v>2057</v>
      </c>
      <c r="C46" s="1342">
        <v>0</v>
      </c>
      <c r="D46" s="1342">
        <v>0</v>
      </c>
      <c r="E46" s="1342"/>
    </row>
    <row r="47" spans="2:7" x14ac:dyDescent="0.2">
      <c r="B47" s="1340">
        <v>2058</v>
      </c>
      <c r="C47" s="1342">
        <v>0</v>
      </c>
      <c r="D47" s="1342">
        <v>0</v>
      </c>
      <c r="G47" s="1339" t="s">
        <v>475</v>
      </c>
    </row>
    <row r="48" spans="2:7" x14ac:dyDescent="0.2">
      <c r="B48" s="1340">
        <v>2059</v>
      </c>
      <c r="C48" s="1342">
        <v>0</v>
      </c>
      <c r="D48" s="1342">
        <v>0</v>
      </c>
    </row>
    <row r="49" spans="2:7" x14ac:dyDescent="0.2">
      <c r="B49" s="1340">
        <v>2060</v>
      </c>
      <c r="C49" s="1342">
        <v>0</v>
      </c>
      <c r="D49" s="1342">
        <v>0</v>
      </c>
      <c r="G49" s="1339" t="s">
        <v>475</v>
      </c>
    </row>
    <row r="50" spans="2:7" ht="13.5" thickBot="1" x14ac:dyDescent="0.25">
      <c r="B50" s="1343">
        <v>2061</v>
      </c>
      <c r="C50" s="1344">
        <v>0</v>
      </c>
      <c r="D50" s="1344">
        <v>0</v>
      </c>
    </row>
    <row r="51" spans="2:7" ht="13.5" thickTop="1" x14ac:dyDescent="0.2">
      <c r="C51" s="1342"/>
      <c r="D51" s="1342"/>
    </row>
    <row r="52" spans="2:7" x14ac:dyDescent="0.2">
      <c r="C52" s="1342"/>
      <c r="D52" s="1342"/>
    </row>
    <row r="53" spans="2:7" x14ac:dyDescent="0.2">
      <c r="C53" s="1342"/>
      <c r="D53" s="1342"/>
    </row>
    <row r="54" spans="2:7" x14ac:dyDescent="0.2">
      <c r="C54" s="1342"/>
      <c r="D54" s="1342"/>
    </row>
    <row r="55" spans="2:7" x14ac:dyDescent="0.2">
      <c r="C55" s="1342"/>
      <c r="D55" s="1342"/>
    </row>
    <row r="56" spans="2:7" x14ac:dyDescent="0.25">
      <c r="C56" s="1345"/>
      <c r="D56" s="1345"/>
    </row>
    <row r="57" spans="2:7" x14ac:dyDescent="0.25">
      <c r="C57" s="1345"/>
      <c r="D57" s="134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N62"/>
  <sheetViews>
    <sheetView showGridLines="0" zoomScale="80" zoomScaleNormal="80" workbookViewId="0">
      <selection activeCell="I30" sqref="I30"/>
    </sheetView>
  </sheetViews>
  <sheetFormatPr defaultRowHeight="12.75" x14ac:dyDescent="0.25"/>
  <cols>
    <col min="1" max="1" width="3.5703125" style="391" customWidth="1"/>
    <col min="2" max="2" width="13.42578125" style="440" customWidth="1"/>
    <col min="3" max="8" width="13.28515625" style="391" customWidth="1"/>
    <col min="9" max="9" width="13.7109375" style="391" customWidth="1"/>
    <col min="10" max="10" width="16.5703125" style="391" customWidth="1"/>
    <col min="11" max="11" width="19.5703125" style="391" customWidth="1"/>
    <col min="12" max="12" width="16.7109375" style="391" customWidth="1"/>
    <col min="13" max="23" width="12.7109375" style="391" customWidth="1"/>
    <col min="24" max="24" width="2.7109375" style="391" customWidth="1"/>
    <col min="25" max="45" width="15.7109375" style="391" customWidth="1"/>
    <col min="46" max="46" width="4.140625" style="391" customWidth="1"/>
    <col min="47" max="67" width="15.7109375" style="391" customWidth="1"/>
    <col min="68" max="16384" width="9.140625" style="391"/>
  </cols>
  <sheetData>
    <row r="2" spans="1:13" ht="18.75" x14ac:dyDescent="0.25">
      <c r="B2" s="993" t="str">
        <f>'About the Spreadsheet Tabs'!$B$3</f>
        <v>Benefit-Cost Assessment Spreadsheet for Access I-95: Driving Baltimore's City Development</v>
      </c>
    </row>
    <row r="3" spans="1:13" ht="18.75" x14ac:dyDescent="0.25">
      <c r="B3" s="993" t="s">
        <v>500</v>
      </c>
    </row>
    <row r="4" spans="1:13" ht="18.75" x14ac:dyDescent="0.25">
      <c r="B4" s="994"/>
    </row>
    <row r="5" spans="1:13" ht="57.75" customHeight="1" x14ac:dyDescent="0.25">
      <c r="B5" s="995"/>
      <c r="F5" s="929" t="s">
        <v>112</v>
      </c>
      <c r="G5" s="929" t="s">
        <v>356</v>
      </c>
      <c r="J5" s="391" t="s">
        <v>475</v>
      </c>
    </row>
    <row r="6" spans="1:13" x14ac:dyDescent="0.25">
      <c r="E6" s="383" t="s">
        <v>343</v>
      </c>
      <c r="F6" s="996">
        <f>AVO!G7</f>
        <v>1.9400000000000002</v>
      </c>
      <c r="G6" s="997">
        <f>'Rates - Single'!E27</f>
        <v>13.6</v>
      </c>
      <c r="I6" s="391" t="s">
        <v>475</v>
      </c>
    </row>
    <row r="7" spans="1:13" x14ac:dyDescent="0.25">
      <c r="E7" s="525" t="s">
        <v>344</v>
      </c>
      <c r="F7" s="996">
        <f>AVO!C8</f>
        <v>1.1207100591715975</v>
      </c>
      <c r="G7" s="997">
        <f>'Rates - Single'!E28</f>
        <v>25.4</v>
      </c>
    </row>
    <row r="8" spans="1:13" x14ac:dyDescent="0.25">
      <c r="E8" s="383" t="s">
        <v>345</v>
      </c>
      <c r="F8" s="996">
        <f>AVO!C8</f>
        <v>1.1207100591715975</v>
      </c>
      <c r="G8" s="997">
        <f>'Rates - Single'!E28</f>
        <v>25.4</v>
      </c>
    </row>
    <row r="9" spans="1:13" ht="12.75" customHeight="1" x14ac:dyDescent="0.25">
      <c r="A9" s="391" t="s">
        <v>475</v>
      </c>
      <c r="E9" s="525" t="s">
        <v>160</v>
      </c>
      <c r="F9" s="996">
        <v>1</v>
      </c>
      <c r="G9" s="997">
        <f>'Rates - Single'!E35</f>
        <v>27.2</v>
      </c>
      <c r="H9" s="392"/>
    </row>
    <row r="10" spans="1:13" x14ac:dyDescent="0.25">
      <c r="E10" s="1211" t="s">
        <v>495</v>
      </c>
      <c r="F10" s="1211"/>
      <c r="G10" s="1211"/>
      <c r="H10" s="1211"/>
    </row>
    <row r="11" spans="1:13" ht="25.5" customHeight="1" x14ac:dyDescent="0.25"/>
    <row r="12" spans="1:13" s="999" customFormat="1" ht="37.5" customHeight="1" x14ac:dyDescent="0.25">
      <c r="B12" s="998"/>
      <c r="C12" s="1212" t="s">
        <v>766</v>
      </c>
      <c r="D12" s="1212"/>
      <c r="E12" s="1212"/>
      <c r="F12" s="1212" t="s">
        <v>469</v>
      </c>
      <c r="G12" s="1212"/>
      <c r="H12" s="1212"/>
      <c r="I12" s="1213" t="s">
        <v>497</v>
      </c>
      <c r="J12" s="1213" t="s">
        <v>496</v>
      </c>
      <c r="M12" s="999" t="s">
        <v>475</v>
      </c>
    </row>
    <row r="13" spans="1:13" s="999" customFormat="1" ht="25.5" x14ac:dyDescent="0.25">
      <c r="B13" s="1000"/>
      <c r="C13" s="1001" t="s">
        <v>483</v>
      </c>
      <c r="D13" s="1001" t="s">
        <v>484</v>
      </c>
      <c r="E13" s="1001" t="s">
        <v>160</v>
      </c>
      <c r="F13" s="1001" t="s">
        <v>483</v>
      </c>
      <c r="G13" s="1001" t="s">
        <v>484</v>
      </c>
      <c r="H13" s="1001" t="s">
        <v>160</v>
      </c>
      <c r="I13" s="1214"/>
      <c r="J13" s="1214"/>
    </row>
    <row r="14" spans="1:13" s="999" customFormat="1" x14ac:dyDescent="0.25">
      <c r="B14" s="440">
        <v>2020</v>
      </c>
      <c r="C14" s="1002" t="s">
        <v>643</v>
      </c>
      <c r="D14" s="1002" t="s">
        <v>643</v>
      </c>
      <c r="E14" s="1002" t="s">
        <v>643</v>
      </c>
      <c r="F14" s="1002" t="s">
        <v>643</v>
      </c>
      <c r="G14" s="1002" t="s">
        <v>643</v>
      </c>
      <c r="H14" s="1002" t="s">
        <v>643</v>
      </c>
      <c r="I14" s="1002" t="s">
        <v>643</v>
      </c>
      <c r="J14" s="1002" t="s">
        <v>643</v>
      </c>
    </row>
    <row r="15" spans="1:13" s="999" customFormat="1" x14ac:dyDescent="0.25">
      <c r="B15" s="440">
        <v>2021</v>
      </c>
      <c r="C15" s="1002" t="s">
        <v>643</v>
      </c>
      <c r="D15" s="1002" t="s">
        <v>643</v>
      </c>
      <c r="E15" s="1002" t="s">
        <v>643</v>
      </c>
      <c r="F15" s="1002" t="s">
        <v>643</v>
      </c>
      <c r="G15" s="1002" t="s">
        <v>643</v>
      </c>
      <c r="H15" s="1002" t="s">
        <v>643</v>
      </c>
      <c r="I15" s="1002" t="s">
        <v>643</v>
      </c>
      <c r="J15" s="1002" t="s">
        <v>643</v>
      </c>
    </row>
    <row r="16" spans="1:13" s="999" customFormat="1" x14ac:dyDescent="0.2">
      <c r="B16" s="440">
        <v>2022</v>
      </c>
      <c r="C16" s="1002">
        <f>'TDM Summary'!P13*AVO!$E$13*'Rates - Single'!$C$39</f>
        <v>-169463.35883680626</v>
      </c>
      <c r="D16" s="1002">
        <f>'TDM Summary'!P13*(1-AVO!$E$13)*'Rates - Single'!$C$38</f>
        <v>-1057570.1071887393</v>
      </c>
      <c r="E16" s="1002">
        <f>'TDM Summary'!Q13*'Rates - Single'!$C$40</f>
        <v>-155393.69522797625</v>
      </c>
      <c r="F16" s="1003">
        <f t="shared" ref="F16:F18" si="0">C16*$G$7*$F$7</f>
        <v>-4823949.9890991356</v>
      </c>
      <c r="G16" s="1003">
        <f t="shared" ref="G16:G18" si="1">D16*$G$6*$F$6</f>
        <v>-27902929.7080677</v>
      </c>
      <c r="H16" s="1003">
        <f t="shared" ref="H16:H18" si="2">E16*$G$9*$F$9</f>
        <v>-4226708.510200954</v>
      </c>
      <c r="I16" s="1004">
        <f t="shared" ref="I16:I18" si="3">SUM(C16:E16)</f>
        <v>-1382427.1612535219</v>
      </c>
      <c r="J16" s="1005">
        <f>-SUM(F16:H16)</f>
        <v>36953588.207367793</v>
      </c>
      <c r="K16" s="999" t="s">
        <v>475</v>
      </c>
    </row>
    <row r="17" spans="2:14" s="999" customFormat="1" x14ac:dyDescent="0.2">
      <c r="B17" s="440">
        <v>2023</v>
      </c>
      <c r="C17" s="1002">
        <f>'TDM Summary'!P14*AVO!$E$13*'Rates - Single'!$C$39</f>
        <v>-178532.50244594589</v>
      </c>
      <c r="D17" s="1002">
        <f>'TDM Summary'!P14*(1-AVO!$E$13)*'Rates - Single'!$C$38</f>
        <v>-1114167.9183301099</v>
      </c>
      <c r="E17" s="1002">
        <f>'TDM Summary'!Q14*'Rates - Single'!$C$40</f>
        <v>-163655.59686994055</v>
      </c>
      <c r="F17" s="1003">
        <f t="shared" si="0"/>
        <v>-5082112.5530583346</v>
      </c>
      <c r="G17" s="1003">
        <f t="shared" si="1"/>
        <v>-29396206.357221618</v>
      </c>
      <c r="H17" s="1003">
        <f t="shared" si="2"/>
        <v>-4451432.2348623825</v>
      </c>
      <c r="I17" s="1004">
        <f t="shared" si="3"/>
        <v>-1456356.0176459965</v>
      </c>
      <c r="J17" s="1005">
        <f t="shared" ref="J17:J33" si="4">-SUM(F17:H17)</f>
        <v>38929751.145142332</v>
      </c>
    </row>
    <row r="18" spans="2:14" s="999" customFormat="1" x14ac:dyDescent="0.2">
      <c r="B18" s="440">
        <v>2024</v>
      </c>
      <c r="C18" s="1002">
        <f>'TDM Summary'!P15*AVO!$E$13*'Rates - Single'!$C$39</f>
        <v>-187601.64605508553</v>
      </c>
      <c r="D18" s="1002">
        <f>'TDM Summary'!P15*(1-AVO!$E$13)*'Rates - Single'!$C$38</f>
        <v>-1170765.7294714805</v>
      </c>
      <c r="E18" s="1002">
        <f>'TDM Summary'!Q15*'Rates - Single'!$C$40</f>
        <v>-171917.49851190482</v>
      </c>
      <c r="F18" s="1003">
        <f t="shared" si="0"/>
        <v>-5340275.1170175327</v>
      </c>
      <c r="G18" s="1003">
        <f t="shared" si="1"/>
        <v>-30889483.006375544</v>
      </c>
      <c r="H18" s="1003">
        <f t="shared" si="2"/>
        <v>-4676155.959523811</v>
      </c>
      <c r="I18" s="1004">
        <f t="shared" si="3"/>
        <v>-1530284.8740384709</v>
      </c>
      <c r="J18" s="1005">
        <f t="shared" si="4"/>
        <v>40905914.082916886</v>
      </c>
    </row>
    <row r="19" spans="2:14" x14ac:dyDescent="0.2">
      <c r="B19" s="440">
        <v>2025</v>
      </c>
      <c r="C19" s="1002">
        <f>'TDM Summary'!P16*AVO!$E$13*'Rates - Single'!$C$39</f>
        <v>-196670.78966422507</v>
      </c>
      <c r="D19" s="1002">
        <f>'TDM Summary'!P16*(1-AVO!$E$13)*'Rates - Single'!$C$38</f>
        <v>-1227363.5406128508</v>
      </c>
      <c r="E19" s="1002">
        <f>'TDM Summary'!Q16*'Rates - Single'!$C$40</f>
        <v>-180179.40015386915</v>
      </c>
      <c r="F19" s="1003">
        <f t="shared" ref="F19:F33" si="5">C19*$G$7*$F$7</f>
        <v>-5598437.6809767289</v>
      </c>
      <c r="G19" s="1003">
        <f t="shared" ref="G19:G33" si="6">D19*$G$6*$F$6</f>
        <v>-32382759.655529458</v>
      </c>
      <c r="H19" s="1003">
        <f t="shared" ref="H19:H33" si="7">E19*$G$9*$F$9</f>
        <v>-4900879.6841852404</v>
      </c>
      <c r="I19" s="1004">
        <f>SUM(C19:E19)</f>
        <v>-1604213.7304309451</v>
      </c>
      <c r="J19" s="1005">
        <f t="shared" si="4"/>
        <v>42882077.020691425</v>
      </c>
      <c r="M19" s="391" t="s">
        <v>475</v>
      </c>
    </row>
    <row r="20" spans="2:14" x14ac:dyDescent="0.2">
      <c r="B20" s="440">
        <v>2026</v>
      </c>
      <c r="C20" s="1002">
        <f>'TDM Summary'!P17*AVO!$E$13*'Rates - Single'!$C$39</f>
        <v>-205739.93327336473</v>
      </c>
      <c r="D20" s="1002">
        <f>'TDM Summary'!P17*(1-AVO!$E$13)*'Rates - Single'!$C$38</f>
        <v>-1283961.3517542211</v>
      </c>
      <c r="E20" s="1002">
        <f>'TDM Summary'!Q17*'Rates - Single'!$C$40</f>
        <v>-188441.30179583342</v>
      </c>
      <c r="F20" s="1003">
        <f t="shared" si="5"/>
        <v>-5856600.2449359279</v>
      </c>
      <c r="G20" s="1003">
        <f t="shared" si="6"/>
        <v>-33876036.304683372</v>
      </c>
      <c r="H20" s="1003">
        <f t="shared" si="7"/>
        <v>-5125603.4088466689</v>
      </c>
      <c r="I20" s="1004">
        <f t="shared" ref="I20:I33" si="8">SUM(C20:E20)</f>
        <v>-1678142.5868234194</v>
      </c>
      <c r="J20" s="1005">
        <f t="shared" si="4"/>
        <v>44858239.958465971</v>
      </c>
    </row>
    <row r="21" spans="2:14" x14ac:dyDescent="0.2">
      <c r="B21" s="440">
        <v>2027</v>
      </c>
      <c r="C21" s="1002">
        <f>'TDM Summary'!P18*AVO!$E$13*'Rates - Single'!$C$39</f>
        <v>-214809.07688250433</v>
      </c>
      <c r="D21" s="1002">
        <f>'TDM Summary'!P18*(1-AVO!$E$13)*'Rates - Single'!$C$38</f>
        <v>-1340559.1628955919</v>
      </c>
      <c r="E21" s="1002">
        <f>'TDM Summary'!Q18*'Rates - Single'!$C$40</f>
        <v>-196703.20343779767</v>
      </c>
      <c r="F21" s="1003">
        <f t="shared" si="5"/>
        <v>-6114762.808895126</v>
      </c>
      <c r="G21" s="1003">
        <f t="shared" si="6"/>
        <v>-35369312.953837298</v>
      </c>
      <c r="H21" s="1003">
        <f t="shared" si="7"/>
        <v>-5350327.1335080964</v>
      </c>
      <c r="I21" s="1004">
        <f t="shared" si="8"/>
        <v>-1752071.443215894</v>
      </c>
      <c r="J21" s="1005">
        <f t="shared" si="4"/>
        <v>46834402.896240517</v>
      </c>
      <c r="L21" s="391" t="s">
        <v>475</v>
      </c>
    </row>
    <row r="22" spans="2:14" x14ac:dyDescent="0.2">
      <c r="B22" s="440">
        <v>2028</v>
      </c>
      <c r="C22" s="1002">
        <f>'TDM Summary'!P19*AVO!$E$13*'Rates - Single'!$C$39</f>
        <v>-223878.220491644</v>
      </c>
      <c r="D22" s="1002">
        <f>'TDM Summary'!P19*(1-AVO!$E$13)*'Rates - Single'!$C$38</f>
        <v>-1397156.9740369625</v>
      </c>
      <c r="E22" s="1002">
        <f>'TDM Summary'!Q19*'Rates - Single'!$C$40</f>
        <v>-204965.10507976203</v>
      </c>
      <c r="F22" s="1003">
        <f t="shared" si="5"/>
        <v>-6372925.372854325</v>
      </c>
      <c r="G22" s="1003">
        <f t="shared" si="6"/>
        <v>-36862589.602991223</v>
      </c>
      <c r="H22" s="1003">
        <f t="shared" si="7"/>
        <v>-5575050.8581695268</v>
      </c>
      <c r="I22" s="1004">
        <f t="shared" si="8"/>
        <v>-1826000.2996083684</v>
      </c>
      <c r="J22" s="1005">
        <f t="shared" si="4"/>
        <v>48810565.834015071</v>
      </c>
    </row>
    <row r="23" spans="2:14" x14ac:dyDescent="0.2">
      <c r="B23" s="440">
        <v>2029</v>
      </c>
      <c r="C23" s="1002">
        <f>'TDM Summary'!P20*AVO!$E$13*'Rates - Single'!$C$39</f>
        <v>-232947.36410078363</v>
      </c>
      <c r="D23" s="1002">
        <f>'TDM Summary'!P20*(1-AVO!$E$13)*'Rates - Single'!$C$38</f>
        <v>-1453754.7851783331</v>
      </c>
      <c r="E23" s="1002">
        <f>'TDM Summary'!Q20*'Rates - Single'!$C$40</f>
        <v>-213227.00672172627</v>
      </c>
      <c r="F23" s="1003">
        <f t="shared" si="5"/>
        <v>-6631087.9368135249</v>
      </c>
      <c r="G23" s="1003">
        <f t="shared" si="6"/>
        <v>-38355866.252145141</v>
      </c>
      <c r="H23" s="1003">
        <f t="shared" si="7"/>
        <v>-5799774.5828309543</v>
      </c>
      <c r="I23" s="1004">
        <f t="shared" si="8"/>
        <v>-1899929.1560008428</v>
      </c>
      <c r="J23" s="1005">
        <f t="shared" si="4"/>
        <v>50786728.771789625</v>
      </c>
    </row>
    <row r="24" spans="2:14" x14ac:dyDescent="0.2">
      <c r="B24" s="440">
        <v>2030</v>
      </c>
      <c r="C24" s="1002">
        <f>'TDM Summary'!P21*AVO!$E$13*'Rates - Single'!$C$39</f>
        <v>-242016.5077099232</v>
      </c>
      <c r="D24" s="1002">
        <f>'TDM Summary'!P21*(1-AVO!$E$13)*'Rates - Single'!$C$38</f>
        <v>-1510352.5963197032</v>
      </c>
      <c r="E24" s="1002">
        <f>'TDM Summary'!Q21*'Rates - Single'!$C$40</f>
        <v>-221488.90836369063</v>
      </c>
      <c r="F24" s="1003">
        <f t="shared" si="5"/>
        <v>-6889250.5007727221</v>
      </c>
      <c r="G24" s="1003">
        <f t="shared" si="6"/>
        <v>-39849142.901299052</v>
      </c>
      <c r="H24" s="1003">
        <f t="shared" si="7"/>
        <v>-6024498.3074923847</v>
      </c>
      <c r="I24" s="1004">
        <f t="shared" si="8"/>
        <v>-1973858.012393317</v>
      </c>
      <c r="J24" s="1005">
        <f t="shared" si="4"/>
        <v>52762891.709564157</v>
      </c>
    </row>
    <row r="25" spans="2:14" x14ac:dyDescent="0.2">
      <c r="B25" s="440">
        <v>2031</v>
      </c>
      <c r="C25" s="1002">
        <f>'TDM Summary'!P22*AVO!$E$13*'Rates - Single'!$C$39</f>
        <v>-251085.6513190628</v>
      </c>
      <c r="D25" s="1002">
        <f>'TDM Summary'!P22*(1-AVO!$E$13)*'Rates - Single'!$C$38</f>
        <v>-1566950.4074610739</v>
      </c>
      <c r="E25" s="1002">
        <f>'TDM Summary'!Q22*'Rates - Single'!$C$40</f>
        <v>-229750.81000565487</v>
      </c>
      <c r="F25" s="1003">
        <f>C25*$G$7*$F$7</f>
        <v>-7147413.0647319201</v>
      </c>
      <c r="G25" s="1003">
        <f t="shared" si="6"/>
        <v>-41342419.550452977</v>
      </c>
      <c r="H25" s="1003">
        <f t="shared" si="7"/>
        <v>-6249222.0321538122</v>
      </c>
      <c r="I25" s="1004">
        <f t="shared" si="8"/>
        <v>-2047786.8687857916</v>
      </c>
      <c r="J25" s="1005">
        <f t="shared" si="4"/>
        <v>54739054.647338711</v>
      </c>
      <c r="M25" s="391" t="s">
        <v>475</v>
      </c>
    </row>
    <row r="26" spans="2:14" x14ac:dyDescent="0.2">
      <c r="B26" s="440">
        <v>2032</v>
      </c>
      <c r="C26" s="1002">
        <f>'TDM Summary'!P23*AVO!$E$13*'Rates - Single'!$C$39</f>
        <v>-260154.79492820246</v>
      </c>
      <c r="D26" s="1002">
        <f>'TDM Summary'!P23*(1-AVO!$E$13)*'Rates - Single'!$C$38</f>
        <v>-1623548.2186024443</v>
      </c>
      <c r="E26" s="1002">
        <f>'TDM Summary'!Q23*'Rates - Single'!$C$40</f>
        <v>-238012.71164761914</v>
      </c>
      <c r="F26" s="1003">
        <f t="shared" si="5"/>
        <v>-7405575.6286911191</v>
      </c>
      <c r="G26" s="1003">
        <f t="shared" si="6"/>
        <v>-42835696.199606888</v>
      </c>
      <c r="H26" s="1003">
        <f t="shared" si="7"/>
        <v>-6473945.7568152407</v>
      </c>
      <c r="I26" s="1004">
        <f t="shared" si="8"/>
        <v>-2121715.7251782659</v>
      </c>
      <c r="J26" s="1005">
        <f t="shared" si="4"/>
        <v>56715217.58511325</v>
      </c>
    </row>
    <row r="27" spans="2:14" x14ac:dyDescent="0.2">
      <c r="B27" s="440">
        <v>2033</v>
      </c>
      <c r="C27" s="1002">
        <f>'TDM Summary'!P24*AVO!$E$13*'Rates - Single'!$C$39</f>
        <v>-269223.93853734207</v>
      </c>
      <c r="D27" s="1002">
        <f>'TDM Summary'!P24*(1-AVO!$E$13)*'Rates - Single'!$C$38</f>
        <v>-1680146.0297438148</v>
      </c>
      <c r="E27" s="1002">
        <f>'TDM Summary'!Q24*'Rates - Single'!$C$40</f>
        <v>-246274.61328958347</v>
      </c>
      <c r="F27" s="1003">
        <f t="shared" si="5"/>
        <v>-7663738.1926503163</v>
      </c>
      <c r="G27" s="1003">
        <f t="shared" si="6"/>
        <v>-44328972.848760813</v>
      </c>
      <c r="H27" s="1003">
        <f t="shared" si="7"/>
        <v>-6698669.4814766701</v>
      </c>
      <c r="I27" s="1004">
        <f t="shared" si="8"/>
        <v>-2195644.5815707403</v>
      </c>
      <c r="J27" s="1005">
        <f t="shared" si="4"/>
        <v>58691380.522887804</v>
      </c>
      <c r="N27" s="391" t="s">
        <v>475</v>
      </c>
    </row>
    <row r="28" spans="2:14" x14ac:dyDescent="0.2">
      <c r="B28" s="440">
        <v>2034</v>
      </c>
      <c r="C28" s="1002">
        <f>'TDM Summary'!P25*AVO!$E$13*'Rates - Single'!$C$39</f>
        <v>-278293.08214648173</v>
      </c>
      <c r="D28" s="1002">
        <f>'TDM Summary'!P25*(1-AVO!$E$13)*'Rates - Single'!$C$38</f>
        <v>-1736743.8408851854</v>
      </c>
      <c r="E28" s="1002">
        <f>'TDM Summary'!Q25*'Rates - Single'!$C$40</f>
        <v>-254536.51493154775</v>
      </c>
      <c r="F28" s="1003">
        <f t="shared" si="5"/>
        <v>-7921900.7566095162</v>
      </c>
      <c r="G28" s="1003">
        <f t="shared" si="6"/>
        <v>-45822249.497914732</v>
      </c>
      <c r="H28" s="1003">
        <f t="shared" si="7"/>
        <v>-6923393.2061380986</v>
      </c>
      <c r="I28" s="1004">
        <f t="shared" si="8"/>
        <v>-2269573.4379632152</v>
      </c>
      <c r="J28" s="1005">
        <f t="shared" si="4"/>
        <v>60667543.460662343</v>
      </c>
    </row>
    <row r="29" spans="2:14" x14ac:dyDescent="0.2">
      <c r="B29" s="440">
        <v>2035</v>
      </c>
      <c r="C29" s="1002">
        <f>'TDM Summary'!P26*AVO!$E$13*'Rates - Single'!$C$39</f>
        <v>-287362.22575562127</v>
      </c>
      <c r="D29" s="1002">
        <f>'TDM Summary'!P26*(1-AVO!$E$13)*'Rates - Single'!$C$38</f>
        <v>-1793341.6520265555</v>
      </c>
      <c r="E29" s="1002">
        <f>'TDM Summary'!Q26*'Rates - Single'!$C$40</f>
        <v>-262798.41657351202</v>
      </c>
      <c r="F29" s="1003">
        <f t="shared" si="5"/>
        <v>-8180063.3205687124</v>
      </c>
      <c r="G29" s="1003">
        <f t="shared" si="6"/>
        <v>-47315526.14706865</v>
      </c>
      <c r="H29" s="1003">
        <f t="shared" si="7"/>
        <v>-7148116.9307995271</v>
      </c>
      <c r="I29" s="1004">
        <f t="shared" si="8"/>
        <v>-2343502.2943556886</v>
      </c>
      <c r="J29" s="1005">
        <f t="shared" si="4"/>
        <v>62643706.398436889</v>
      </c>
    </row>
    <row r="30" spans="2:14" x14ac:dyDescent="0.2">
      <c r="B30" s="440">
        <v>2036</v>
      </c>
      <c r="C30" s="1002">
        <f>'TDM Summary'!P27*AVO!$E$13*'Rates - Single'!$C$39</f>
        <v>-296431.36936476087</v>
      </c>
      <c r="D30" s="1002">
        <f>'TDM Summary'!P27*(1-AVO!$E$13)*'Rates - Single'!$C$38</f>
        <v>-1849939.4631679261</v>
      </c>
      <c r="E30" s="1002">
        <f>'TDM Summary'!Q27*'Rates - Single'!$C$40</f>
        <v>-271060.31821547635</v>
      </c>
      <c r="F30" s="1003">
        <f t="shared" si="5"/>
        <v>-8438225.8845279105</v>
      </c>
      <c r="G30" s="1003">
        <f t="shared" si="6"/>
        <v>-48808802.796222568</v>
      </c>
      <c r="H30" s="1003">
        <f t="shared" si="7"/>
        <v>-7372840.6554609565</v>
      </c>
      <c r="I30" s="1004">
        <f t="shared" si="8"/>
        <v>-2417431.1507481635</v>
      </c>
      <c r="J30" s="1005">
        <f t="shared" si="4"/>
        <v>64619869.336211428</v>
      </c>
    </row>
    <row r="31" spans="2:14" x14ac:dyDescent="0.2">
      <c r="B31" s="440">
        <v>2037</v>
      </c>
      <c r="C31" s="1002">
        <f>'TDM Summary'!P28*AVO!$E$13*'Rates - Single'!$C$39</f>
        <v>-305500.51297390054</v>
      </c>
      <c r="D31" s="1002">
        <f>'TDM Summary'!P28*(1-AVO!$E$13)*'Rates - Single'!$C$38</f>
        <v>-1906537.2743092969</v>
      </c>
      <c r="E31" s="1002">
        <f>'TDM Summary'!Q28*'Rates - Single'!$C$40</f>
        <v>-279322.21985744062</v>
      </c>
      <c r="F31" s="1003">
        <f t="shared" si="5"/>
        <v>-8696388.4484871104</v>
      </c>
      <c r="G31" s="1003">
        <f t="shared" si="6"/>
        <v>-50302079.445376493</v>
      </c>
      <c r="H31" s="1003">
        <f t="shared" si="7"/>
        <v>-7597564.380122385</v>
      </c>
      <c r="I31" s="1004">
        <f t="shared" si="8"/>
        <v>-2491360.0071406383</v>
      </c>
      <c r="J31" s="1005">
        <f t="shared" si="4"/>
        <v>66596032.273985989</v>
      </c>
    </row>
    <row r="32" spans="2:14" x14ac:dyDescent="0.2">
      <c r="B32" s="440">
        <v>2038</v>
      </c>
      <c r="C32" s="1002">
        <f>'TDM Summary'!P29*AVO!$E$13*'Rates - Single'!$C$39</f>
        <v>-314569.6565830402</v>
      </c>
      <c r="D32" s="1002">
        <f>'TDM Summary'!P29*(1-AVO!$E$13)*'Rates - Single'!$C$38</f>
        <v>-1963135.0854506674</v>
      </c>
      <c r="E32" s="1002">
        <f>'TDM Summary'!Q29*'Rates - Single'!$C$40</f>
        <v>-287584.12149940495</v>
      </c>
      <c r="F32" s="1003">
        <f t="shared" si="5"/>
        <v>-8954551.0124463085</v>
      </c>
      <c r="G32" s="1003">
        <f t="shared" si="6"/>
        <v>-51795356.094530419</v>
      </c>
      <c r="H32" s="1003">
        <f t="shared" si="7"/>
        <v>-7822288.1047838144</v>
      </c>
      <c r="I32" s="1004">
        <f t="shared" si="8"/>
        <v>-2565288.8635331122</v>
      </c>
      <c r="J32" s="1005">
        <f t="shared" si="4"/>
        <v>68572195.211760536</v>
      </c>
    </row>
    <row r="33" spans="2:10" x14ac:dyDescent="0.2">
      <c r="B33" s="1025">
        <v>2039</v>
      </c>
      <c r="C33" s="1002">
        <f>'TDM Summary'!P30*AVO!$E$13*'Rates - Single'!$C$39</f>
        <v>-323638.8001921798</v>
      </c>
      <c r="D33" s="1002">
        <f>'TDM Summary'!P30*(1-AVO!$E$13)*'Rates - Single'!$C$38</f>
        <v>-2019732.896592038</v>
      </c>
      <c r="E33" s="1002">
        <f>'TDM Summary'!Q30*'Rates - Single'!$C$40</f>
        <v>-295846.02314136922</v>
      </c>
      <c r="F33" s="1090">
        <f t="shared" si="5"/>
        <v>-9212713.5764055066</v>
      </c>
      <c r="G33" s="1090">
        <f t="shared" si="6"/>
        <v>-53288632.743684337</v>
      </c>
      <c r="H33" s="1090">
        <f t="shared" si="7"/>
        <v>-8047011.8294452429</v>
      </c>
      <c r="I33" s="1091">
        <f t="shared" si="8"/>
        <v>-2639217.7199255871</v>
      </c>
      <c r="J33" s="1092">
        <f t="shared" si="4"/>
        <v>70548358.14953509</v>
      </c>
    </row>
    <row r="34" spans="2:10" x14ac:dyDescent="0.2">
      <c r="B34" s="1025">
        <v>2040</v>
      </c>
      <c r="C34" s="1002">
        <f>'TDM Summary'!P31*AVO!$E$13*'Rates - Single'!$C$39</f>
        <v>-332707.94380131928</v>
      </c>
      <c r="D34" s="1002">
        <f>'TDM Summary'!P31*(1-AVO!$E$13)*'Rates - Single'!$C$38</f>
        <v>-2076330.7077334074</v>
      </c>
      <c r="E34" s="1002">
        <f>'TDM Summary'!Q31*'Rates - Single'!$C$40</f>
        <v>-304107.92478333338</v>
      </c>
      <c r="F34" s="1090">
        <f>C34*$G$7*$F$7</f>
        <v>-9470876.1403647009</v>
      </c>
      <c r="G34" s="1090">
        <f>D34*$G$6*$F$6</f>
        <v>-54781909.392838225</v>
      </c>
      <c r="H34" s="1090">
        <f>E34*$G$9*$F$9</f>
        <v>-8271735.5541066676</v>
      </c>
      <c r="I34" s="1091">
        <f>SUM(C34:E34)</f>
        <v>-2713146.57631806</v>
      </c>
      <c r="J34" s="1092">
        <f>-SUM(F34:H34)</f>
        <v>72524521.087309599</v>
      </c>
    </row>
    <row r="35" spans="2:10" x14ac:dyDescent="0.2">
      <c r="B35" s="1025">
        <v>2041</v>
      </c>
      <c r="C35" s="1002">
        <f>'TDM Summary'!P32*AVO!$E$13*'Rates - Single'!$C$39</f>
        <v>-332707.94380131928</v>
      </c>
      <c r="D35" s="1002">
        <f>'TDM Summary'!P32*(1-AVO!$E$13)*'Rates - Single'!$C$38</f>
        <v>-2076330.7077334074</v>
      </c>
      <c r="E35" s="1002">
        <f>'TDM Summary'!Q32*'Rates - Single'!$C$40</f>
        <v>-304107.92478333338</v>
      </c>
      <c r="F35" s="1090">
        <f t="shared" ref="F35:F55" si="9">C35*$G$7*$F$7</f>
        <v>-9470876.1403647009</v>
      </c>
      <c r="G35" s="1090">
        <f t="shared" ref="G35:G55" si="10">D35*$G$6*$F$6</f>
        <v>-54781909.392838225</v>
      </c>
      <c r="H35" s="1090">
        <f t="shared" ref="H35:H55" si="11">E35*$G$9*$F$9</f>
        <v>-8271735.5541066676</v>
      </c>
      <c r="I35" s="1091">
        <f t="shared" ref="I35:I55" si="12">SUM(C35:E35)</f>
        <v>-2713146.57631806</v>
      </c>
      <c r="J35" s="1092">
        <f t="shared" ref="J35:J55" si="13">-SUM(F35:H35)</f>
        <v>72524521.087309599</v>
      </c>
    </row>
    <row r="36" spans="2:10" x14ac:dyDescent="0.2">
      <c r="B36" s="1025">
        <v>2042</v>
      </c>
      <c r="C36" s="1002">
        <f>'TDM Summary'!P33*AVO!$E$13*'Rates - Single'!$C$39</f>
        <v>-332707.94380131928</v>
      </c>
      <c r="D36" s="1002">
        <f>'TDM Summary'!P33*(1-AVO!$E$13)*'Rates - Single'!$C$38</f>
        <v>-2076330.7077334074</v>
      </c>
      <c r="E36" s="1002">
        <f>'TDM Summary'!Q33*'Rates - Single'!$C$40</f>
        <v>-304107.92478333338</v>
      </c>
      <c r="F36" s="1090">
        <f t="shared" si="9"/>
        <v>-9470876.1403647009</v>
      </c>
      <c r="G36" s="1090">
        <f t="shared" si="10"/>
        <v>-54781909.392838225</v>
      </c>
      <c r="H36" s="1090">
        <f t="shared" si="11"/>
        <v>-8271735.5541066676</v>
      </c>
      <c r="I36" s="1091">
        <f t="shared" si="12"/>
        <v>-2713146.57631806</v>
      </c>
      <c r="J36" s="1092">
        <f t="shared" si="13"/>
        <v>72524521.087309599</v>
      </c>
    </row>
    <row r="37" spans="2:10" x14ac:dyDescent="0.2">
      <c r="B37" s="1025">
        <v>2043</v>
      </c>
      <c r="C37" s="1002">
        <f>'TDM Summary'!P34*AVO!$E$13*'Rates - Single'!$C$39</f>
        <v>-332707.94380131928</v>
      </c>
      <c r="D37" s="1002">
        <f>'TDM Summary'!P34*(1-AVO!$E$13)*'Rates - Single'!$C$38</f>
        <v>-2076330.7077334074</v>
      </c>
      <c r="E37" s="1002">
        <f>'TDM Summary'!Q34*'Rates - Single'!$C$40</f>
        <v>-304107.92478333338</v>
      </c>
      <c r="F37" s="1090">
        <f t="shared" si="9"/>
        <v>-9470876.1403647009</v>
      </c>
      <c r="G37" s="1090">
        <f t="shared" si="10"/>
        <v>-54781909.392838225</v>
      </c>
      <c r="H37" s="1090">
        <f t="shared" si="11"/>
        <v>-8271735.5541066676</v>
      </c>
      <c r="I37" s="1091">
        <f t="shared" si="12"/>
        <v>-2713146.57631806</v>
      </c>
      <c r="J37" s="1092">
        <f t="shared" si="13"/>
        <v>72524521.087309599</v>
      </c>
    </row>
    <row r="38" spans="2:10" x14ac:dyDescent="0.2">
      <c r="B38" s="1025">
        <v>2044</v>
      </c>
      <c r="C38" s="1002">
        <f>'TDM Summary'!P35*AVO!$E$13*'Rates - Single'!$C$39</f>
        <v>-332707.94380131928</v>
      </c>
      <c r="D38" s="1002">
        <f>'TDM Summary'!P35*(1-AVO!$E$13)*'Rates - Single'!$C$38</f>
        <v>-2076330.7077334074</v>
      </c>
      <c r="E38" s="1002">
        <f>'TDM Summary'!Q35*'Rates - Single'!$C$40</f>
        <v>-304107.92478333338</v>
      </c>
      <c r="F38" s="1090">
        <f t="shared" si="9"/>
        <v>-9470876.1403647009</v>
      </c>
      <c r="G38" s="1090">
        <f t="shared" si="10"/>
        <v>-54781909.392838225</v>
      </c>
      <c r="H38" s="1090">
        <f t="shared" si="11"/>
        <v>-8271735.5541066676</v>
      </c>
      <c r="I38" s="1091">
        <f t="shared" si="12"/>
        <v>-2713146.57631806</v>
      </c>
      <c r="J38" s="1092">
        <f t="shared" si="13"/>
        <v>72524521.087309599</v>
      </c>
    </row>
    <row r="39" spans="2:10" x14ac:dyDescent="0.2">
      <c r="B39" s="1025">
        <v>2045</v>
      </c>
      <c r="C39" s="1002">
        <f>'TDM Summary'!P36*AVO!$E$13*'Rates - Single'!$C$39</f>
        <v>-332707.94380131928</v>
      </c>
      <c r="D39" s="1002">
        <f>'TDM Summary'!P36*(1-AVO!$E$13)*'Rates - Single'!$C$38</f>
        <v>-2076330.7077334074</v>
      </c>
      <c r="E39" s="1002">
        <f>'TDM Summary'!Q36*'Rates - Single'!$C$40</f>
        <v>-304107.92478333338</v>
      </c>
      <c r="F39" s="1090">
        <f t="shared" si="9"/>
        <v>-9470876.1403647009</v>
      </c>
      <c r="G39" s="1090">
        <f t="shared" si="10"/>
        <v>-54781909.392838225</v>
      </c>
      <c r="H39" s="1090">
        <f t="shared" si="11"/>
        <v>-8271735.5541066676</v>
      </c>
      <c r="I39" s="1091">
        <f t="shared" si="12"/>
        <v>-2713146.57631806</v>
      </c>
      <c r="J39" s="1092">
        <f t="shared" si="13"/>
        <v>72524521.087309599</v>
      </c>
    </row>
    <row r="40" spans="2:10" x14ac:dyDescent="0.2">
      <c r="B40" s="1025">
        <v>2046</v>
      </c>
      <c r="C40" s="1002">
        <f>'TDM Summary'!P37*AVO!$E$13*'Rates - Single'!$C$39</f>
        <v>-332707.94380131928</v>
      </c>
      <c r="D40" s="1002">
        <f>'TDM Summary'!P37*(1-AVO!$E$13)*'Rates - Single'!$C$38</f>
        <v>-2076330.7077334074</v>
      </c>
      <c r="E40" s="1002">
        <f>'TDM Summary'!Q37*'Rates - Single'!$C$40</f>
        <v>-304107.92478333338</v>
      </c>
      <c r="F40" s="1090">
        <f t="shared" si="9"/>
        <v>-9470876.1403647009</v>
      </c>
      <c r="G40" s="1090">
        <f t="shared" si="10"/>
        <v>-54781909.392838225</v>
      </c>
      <c r="H40" s="1090">
        <f t="shared" si="11"/>
        <v>-8271735.5541066676</v>
      </c>
      <c r="I40" s="1091">
        <f t="shared" si="12"/>
        <v>-2713146.57631806</v>
      </c>
      <c r="J40" s="1092">
        <f t="shared" si="13"/>
        <v>72524521.087309599</v>
      </c>
    </row>
    <row r="41" spans="2:10" x14ac:dyDescent="0.2">
      <c r="B41" s="1025">
        <v>2047</v>
      </c>
      <c r="C41" s="1002">
        <f>'TDM Summary'!P38*AVO!$E$13*'Rates - Single'!$C$39</f>
        <v>-332707.94380131928</v>
      </c>
      <c r="D41" s="1002">
        <f>'TDM Summary'!P38*(1-AVO!$E$13)*'Rates - Single'!$C$38</f>
        <v>-2076330.7077334074</v>
      </c>
      <c r="E41" s="1002">
        <f>'TDM Summary'!Q38*'Rates - Single'!$C$40</f>
        <v>-304107.92478333338</v>
      </c>
      <c r="F41" s="1090">
        <f t="shared" si="9"/>
        <v>-9470876.1403647009</v>
      </c>
      <c r="G41" s="1090">
        <f t="shared" si="10"/>
        <v>-54781909.392838225</v>
      </c>
      <c r="H41" s="1090">
        <f t="shared" si="11"/>
        <v>-8271735.5541066676</v>
      </c>
      <c r="I41" s="1091">
        <f t="shared" si="12"/>
        <v>-2713146.57631806</v>
      </c>
      <c r="J41" s="1092">
        <f t="shared" si="13"/>
        <v>72524521.087309599</v>
      </c>
    </row>
    <row r="42" spans="2:10" x14ac:dyDescent="0.2">
      <c r="B42" s="1025">
        <v>2048</v>
      </c>
      <c r="C42" s="1002">
        <f>'TDM Summary'!P39*AVO!$E$13*'Rates - Single'!$C$39</f>
        <v>-332707.94380131928</v>
      </c>
      <c r="D42" s="1002">
        <f>'TDM Summary'!P39*(1-AVO!$E$13)*'Rates - Single'!$C$38</f>
        <v>-2076330.7077334074</v>
      </c>
      <c r="E42" s="1002">
        <f>'TDM Summary'!Q39*'Rates - Single'!$C$40</f>
        <v>-304107.92478333338</v>
      </c>
      <c r="F42" s="1090">
        <f t="shared" si="9"/>
        <v>-9470876.1403647009</v>
      </c>
      <c r="G42" s="1090">
        <f t="shared" si="10"/>
        <v>-54781909.392838225</v>
      </c>
      <c r="H42" s="1090">
        <f t="shared" si="11"/>
        <v>-8271735.5541066676</v>
      </c>
      <c r="I42" s="1091">
        <f t="shared" si="12"/>
        <v>-2713146.57631806</v>
      </c>
      <c r="J42" s="1092">
        <f t="shared" si="13"/>
        <v>72524521.087309599</v>
      </c>
    </row>
    <row r="43" spans="2:10" x14ac:dyDescent="0.2">
      <c r="B43" s="1025">
        <v>2049</v>
      </c>
      <c r="C43" s="1002">
        <f>'TDM Summary'!P40*AVO!$E$13*'Rates - Single'!$C$39</f>
        <v>-332707.94380131928</v>
      </c>
      <c r="D43" s="1002">
        <f>'TDM Summary'!P40*(1-AVO!$E$13)*'Rates - Single'!$C$38</f>
        <v>-2076330.7077334074</v>
      </c>
      <c r="E43" s="1002">
        <f>'TDM Summary'!Q40*'Rates - Single'!$C$40</f>
        <v>-304107.92478333338</v>
      </c>
      <c r="F43" s="1090">
        <f t="shared" si="9"/>
        <v>-9470876.1403647009</v>
      </c>
      <c r="G43" s="1090">
        <f t="shared" si="10"/>
        <v>-54781909.392838225</v>
      </c>
      <c r="H43" s="1090">
        <f t="shared" si="11"/>
        <v>-8271735.5541066676</v>
      </c>
      <c r="I43" s="1091">
        <f t="shared" si="12"/>
        <v>-2713146.57631806</v>
      </c>
      <c r="J43" s="1092">
        <f t="shared" si="13"/>
        <v>72524521.087309599</v>
      </c>
    </row>
    <row r="44" spans="2:10" x14ac:dyDescent="0.2">
      <c r="B44" s="1025">
        <v>2050</v>
      </c>
      <c r="C44" s="1002">
        <f>'TDM Summary'!P41*AVO!$E$13*'Rates - Single'!$C$39</f>
        <v>-332707.94380131928</v>
      </c>
      <c r="D44" s="1002">
        <f>'TDM Summary'!P41*(1-AVO!$E$13)*'Rates - Single'!$C$38</f>
        <v>-2076330.7077334074</v>
      </c>
      <c r="E44" s="1002">
        <f>'TDM Summary'!Q41*'Rates - Single'!$C$40</f>
        <v>-304107.92478333338</v>
      </c>
      <c r="F44" s="1090">
        <f t="shared" si="9"/>
        <v>-9470876.1403647009</v>
      </c>
      <c r="G44" s="1090">
        <f t="shared" si="10"/>
        <v>-54781909.392838225</v>
      </c>
      <c r="H44" s="1090">
        <f t="shared" si="11"/>
        <v>-8271735.5541066676</v>
      </c>
      <c r="I44" s="1091">
        <f t="shared" si="12"/>
        <v>-2713146.57631806</v>
      </c>
      <c r="J44" s="1092">
        <f t="shared" si="13"/>
        <v>72524521.087309599</v>
      </c>
    </row>
    <row r="45" spans="2:10" x14ac:dyDescent="0.2">
      <c r="B45" s="1025">
        <v>2051</v>
      </c>
      <c r="C45" s="1002">
        <f>'TDM Summary'!P42*AVO!$E$13*'Rates - Single'!$C$39</f>
        <v>-332707.94380131928</v>
      </c>
      <c r="D45" s="1002">
        <f>'TDM Summary'!P42*(1-AVO!$E$13)*'Rates - Single'!$C$38</f>
        <v>-2076330.7077334074</v>
      </c>
      <c r="E45" s="1002">
        <f>'TDM Summary'!Q42*'Rates - Single'!$C$40</f>
        <v>-304107.92478333338</v>
      </c>
      <c r="F45" s="1090">
        <f t="shared" si="9"/>
        <v>-9470876.1403647009</v>
      </c>
      <c r="G45" s="1090">
        <f t="shared" si="10"/>
        <v>-54781909.392838225</v>
      </c>
      <c r="H45" s="1090">
        <f t="shared" si="11"/>
        <v>-8271735.5541066676</v>
      </c>
      <c r="I45" s="1091">
        <f t="shared" si="12"/>
        <v>-2713146.57631806</v>
      </c>
      <c r="J45" s="1092">
        <f t="shared" si="13"/>
        <v>72524521.087309599</v>
      </c>
    </row>
    <row r="46" spans="2:10" x14ac:dyDescent="0.2">
      <c r="B46" s="1025">
        <v>2052</v>
      </c>
      <c r="C46" s="1002">
        <f>'TDM Summary'!P43*AVO!$E$13*'Rates - Single'!$C$39</f>
        <v>-332707.94380131928</v>
      </c>
      <c r="D46" s="1002">
        <f>'TDM Summary'!P43*(1-AVO!$E$13)*'Rates - Single'!$C$38</f>
        <v>-2076330.7077334074</v>
      </c>
      <c r="E46" s="1002">
        <f>'TDM Summary'!Q43*'Rates - Single'!$C$40</f>
        <v>-304107.92478333338</v>
      </c>
      <c r="F46" s="1090">
        <f t="shared" si="9"/>
        <v>-9470876.1403647009</v>
      </c>
      <c r="G46" s="1090">
        <f t="shared" si="10"/>
        <v>-54781909.392838225</v>
      </c>
      <c r="H46" s="1090">
        <f t="shared" si="11"/>
        <v>-8271735.5541066676</v>
      </c>
      <c r="I46" s="1091">
        <f t="shared" si="12"/>
        <v>-2713146.57631806</v>
      </c>
      <c r="J46" s="1092">
        <f t="shared" si="13"/>
        <v>72524521.087309599</v>
      </c>
    </row>
    <row r="47" spans="2:10" x14ac:dyDescent="0.2">
      <c r="B47" s="1025">
        <v>2053</v>
      </c>
      <c r="C47" s="1002">
        <f>'TDM Summary'!P44*AVO!$E$13*'Rates - Single'!$C$39</f>
        <v>-332707.94380131928</v>
      </c>
      <c r="D47" s="1002">
        <f>'TDM Summary'!P44*(1-AVO!$E$13)*'Rates - Single'!$C$38</f>
        <v>-2076330.7077334074</v>
      </c>
      <c r="E47" s="1002">
        <f>'TDM Summary'!Q44*'Rates - Single'!$C$40</f>
        <v>-304107.92478333338</v>
      </c>
      <c r="F47" s="1090">
        <f t="shared" si="9"/>
        <v>-9470876.1403647009</v>
      </c>
      <c r="G47" s="1090">
        <f t="shared" si="10"/>
        <v>-54781909.392838225</v>
      </c>
      <c r="H47" s="1090">
        <f t="shared" si="11"/>
        <v>-8271735.5541066676</v>
      </c>
      <c r="I47" s="1091">
        <f t="shared" si="12"/>
        <v>-2713146.57631806</v>
      </c>
      <c r="J47" s="1092">
        <f t="shared" si="13"/>
        <v>72524521.087309599</v>
      </c>
    </row>
    <row r="48" spans="2:10" x14ac:dyDescent="0.2">
      <c r="B48" s="1025">
        <v>2054</v>
      </c>
      <c r="C48" s="1002">
        <f>'TDM Summary'!P45*AVO!$E$13*'Rates - Single'!$C$39</f>
        <v>-332707.94380131928</v>
      </c>
      <c r="D48" s="1002">
        <f>'TDM Summary'!P45*(1-AVO!$E$13)*'Rates - Single'!$C$38</f>
        <v>-2076330.7077334074</v>
      </c>
      <c r="E48" s="1002">
        <f>'TDM Summary'!Q45*'Rates - Single'!$C$40</f>
        <v>-304107.92478333338</v>
      </c>
      <c r="F48" s="1090">
        <f t="shared" si="9"/>
        <v>-9470876.1403647009</v>
      </c>
      <c r="G48" s="1090">
        <f t="shared" si="10"/>
        <v>-54781909.392838225</v>
      </c>
      <c r="H48" s="1090">
        <f t="shared" si="11"/>
        <v>-8271735.5541066676</v>
      </c>
      <c r="I48" s="1091">
        <f t="shared" si="12"/>
        <v>-2713146.57631806</v>
      </c>
      <c r="J48" s="1092">
        <f t="shared" si="13"/>
        <v>72524521.087309599</v>
      </c>
    </row>
    <row r="49" spans="2:10" x14ac:dyDescent="0.2">
      <c r="B49" s="1025">
        <v>2055</v>
      </c>
      <c r="C49" s="1002">
        <f>'TDM Summary'!P46*AVO!$E$13*'Rates - Single'!$C$39</f>
        <v>-332707.94380131928</v>
      </c>
      <c r="D49" s="1002">
        <f>'TDM Summary'!P46*(1-AVO!$E$13)*'Rates - Single'!$C$38</f>
        <v>-2076330.7077334074</v>
      </c>
      <c r="E49" s="1002">
        <f>'TDM Summary'!Q46*'Rates - Single'!$C$40</f>
        <v>-304107.92478333338</v>
      </c>
      <c r="F49" s="1090">
        <f t="shared" si="9"/>
        <v>-9470876.1403647009</v>
      </c>
      <c r="G49" s="1090">
        <f t="shared" si="10"/>
        <v>-54781909.392838225</v>
      </c>
      <c r="H49" s="1090">
        <f t="shared" si="11"/>
        <v>-8271735.5541066676</v>
      </c>
      <c r="I49" s="1091">
        <f t="shared" si="12"/>
        <v>-2713146.57631806</v>
      </c>
      <c r="J49" s="1092">
        <f t="shared" si="13"/>
        <v>72524521.087309599</v>
      </c>
    </row>
    <row r="50" spans="2:10" x14ac:dyDescent="0.2">
      <c r="B50" s="1025">
        <v>2056</v>
      </c>
      <c r="C50" s="1002">
        <f>'TDM Summary'!P47*AVO!$E$13*'Rates - Single'!$C$39</f>
        <v>-332707.94380131928</v>
      </c>
      <c r="D50" s="1002">
        <f>'TDM Summary'!P47*(1-AVO!$E$13)*'Rates - Single'!$C$38</f>
        <v>-2076330.7077334074</v>
      </c>
      <c r="E50" s="1002">
        <f>'TDM Summary'!Q47*'Rates - Single'!$C$40</f>
        <v>-304107.92478333338</v>
      </c>
      <c r="F50" s="1090">
        <f t="shared" si="9"/>
        <v>-9470876.1403647009</v>
      </c>
      <c r="G50" s="1090">
        <f t="shared" si="10"/>
        <v>-54781909.392838225</v>
      </c>
      <c r="H50" s="1090">
        <f t="shared" si="11"/>
        <v>-8271735.5541066676</v>
      </c>
      <c r="I50" s="1091">
        <f t="shared" si="12"/>
        <v>-2713146.57631806</v>
      </c>
      <c r="J50" s="1092">
        <f t="shared" si="13"/>
        <v>72524521.087309599</v>
      </c>
    </row>
    <row r="51" spans="2:10" x14ac:dyDescent="0.2">
      <c r="B51" s="1025">
        <v>2057</v>
      </c>
      <c r="C51" s="1002">
        <f>'TDM Summary'!P48*AVO!$E$13*'Rates - Single'!$C$39</f>
        <v>-332707.94380131928</v>
      </c>
      <c r="D51" s="1002">
        <f>'TDM Summary'!P48*(1-AVO!$E$13)*'Rates - Single'!$C$38</f>
        <v>-2076330.7077334074</v>
      </c>
      <c r="E51" s="1002">
        <f>'TDM Summary'!Q48*'Rates - Single'!$C$40</f>
        <v>-304107.92478333338</v>
      </c>
      <c r="F51" s="1090">
        <f t="shared" si="9"/>
        <v>-9470876.1403647009</v>
      </c>
      <c r="G51" s="1090">
        <f t="shared" si="10"/>
        <v>-54781909.392838225</v>
      </c>
      <c r="H51" s="1090">
        <f t="shared" si="11"/>
        <v>-8271735.5541066676</v>
      </c>
      <c r="I51" s="1091">
        <f t="shared" si="12"/>
        <v>-2713146.57631806</v>
      </c>
      <c r="J51" s="1092">
        <f t="shared" si="13"/>
        <v>72524521.087309599</v>
      </c>
    </row>
    <row r="52" spans="2:10" x14ac:dyDescent="0.2">
      <c r="B52" s="1025">
        <v>2058</v>
      </c>
      <c r="C52" s="1002">
        <f>'TDM Summary'!P49*AVO!$E$13*'Rates - Single'!$C$39</f>
        <v>-332707.94380131928</v>
      </c>
      <c r="D52" s="1002">
        <f>'TDM Summary'!P49*(1-AVO!$E$13)*'Rates - Single'!$C$38</f>
        <v>-2076330.7077334074</v>
      </c>
      <c r="E52" s="1002">
        <f>'TDM Summary'!Q49*'Rates - Single'!$C$40</f>
        <v>-304107.92478333338</v>
      </c>
      <c r="F52" s="1090">
        <f t="shared" si="9"/>
        <v>-9470876.1403647009</v>
      </c>
      <c r="G52" s="1090">
        <f t="shared" si="10"/>
        <v>-54781909.392838225</v>
      </c>
      <c r="H52" s="1090">
        <f t="shared" si="11"/>
        <v>-8271735.5541066676</v>
      </c>
      <c r="I52" s="1091">
        <f t="shared" si="12"/>
        <v>-2713146.57631806</v>
      </c>
      <c r="J52" s="1092">
        <f t="shared" si="13"/>
        <v>72524521.087309599</v>
      </c>
    </row>
    <row r="53" spans="2:10" x14ac:dyDescent="0.2">
      <c r="B53" s="1025">
        <v>2059</v>
      </c>
      <c r="C53" s="1002">
        <f>'TDM Summary'!P50*AVO!$E$13*'Rates - Single'!$C$39</f>
        <v>-332707.94380131928</v>
      </c>
      <c r="D53" s="1002">
        <f>'TDM Summary'!P50*(1-AVO!$E$13)*'Rates - Single'!$C$38</f>
        <v>-2076330.7077334074</v>
      </c>
      <c r="E53" s="1002">
        <f>'TDM Summary'!Q50*'Rates - Single'!$C$40</f>
        <v>-304107.92478333338</v>
      </c>
      <c r="F53" s="1090">
        <f t="shared" si="9"/>
        <v>-9470876.1403647009</v>
      </c>
      <c r="G53" s="1090">
        <f t="shared" si="10"/>
        <v>-54781909.392838225</v>
      </c>
      <c r="H53" s="1090">
        <f t="shared" si="11"/>
        <v>-8271735.5541066676</v>
      </c>
      <c r="I53" s="1091">
        <f t="shared" si="12"/>
        <v>-2713146.57631806</v>
      </c>
      <c r="J53" s="1092">
        <f t="shared" si="13"/>
        <v>72524521.087309599</v>
      </c>
    </row>
    <row r="54" spans="2:10" x14ac:dyDescent="0.2">
      <c r="B54" s="1025">
        <v>2060</v>
      </c>
      <c r="C54" s="1002">
        <f>'TDM Summary'!P51*AVO!$E$13*'Rates - Single'!$C$39</f>
        <v>-332707.94380131928</v>
      </c>
      <c r="D54" s="1002">
        <f>'TDM Summary'!P51*(1-AVO!$E$13)*'Rates - Single'!$C$38</f>
        <v>-2076330.7077334074</v>
      </c>
      <c r="E54" s="1002">
        <f>'TDM Summary'!Q51*'Rates - Single'!$C$40</f>
        <v>-304107.92478333338</v>
      </c>
      <c r="F54" s="1090">
        <f t="shared" si="9"/>
        <v>-9470876.1403647009</v>
      </c>
      <c r="G54" s="1090">
        <f t="shared" si="10"/>
        <v>-54781909.392838225</v>
      </c>
      <c r="H54" s="1090">
        <f t="shared" si="11"/>
        <v>-8271735.5541066676</v>
      </c>
      <c r="I54" s="1091">
        <f t="shared" si="12"/>
        <v>-2713146.57631806</v>
      </c>
      <c r="J54" s="1092">
        <f t="shared" si="13"/>
        <v>72524521.087309599</v>
      </c>
    </row>
    <row r="55" spans="2:10" ht="13.5" thickBot="1" x14ac:dyDescent="0.25">
      <c r="B55" s="1006">
        <v>2061</v>
      </c>
      <c r="C55" s="1007">
        <f>'TDM Summary'!P52*AVO!$E$13*'Rates - Single'!$C$39</f>
        <v>-332707.94380131928</v>
      </c>
      <c r="D55" s="1007">
        <f>'TDM Summary'!P52*(1-AVO!$E$13)*'Rates - Single'!$C$38</f>
        <v>-2076330.7077334074</v>
      </c>
      <c r="E55" s="1007">
        <f>'TDM Summary'!Q52*'Rates - Single'!$C$40</f>
        <v>-304107.92478333338</v>
      </c>
      <c r="F55" s="1008">
        <f t="shared" si="9"/>
        <v>-9470876.1403647009</v>
      </c>
      <c r="G55" s="1008">
        <f t="shared" si="10"/>
        <v>-54781909.392838225</v>
      </c>
      <c r="H55" s="1008">
        <f t="shared" si="11"/>
        <v>-8271735.5541066676</v>
      </c>
      <c r="I55" s="1009">
        <f t="shared" si="12"/>
        <v>-2713146.57631806</v>
      </c>
      <c r="J55" s="1010">
        <f t="shared" si="13"/>
        <v>72524521.087309599</v>
      </c>
    </row>
    <row r="56" spans="2:10" ht="13.5" thickTop="1" x14ac:dyDescent="0.25">
      <c r="B56" s="1211" t="s">
        <v>508</v>
      </c>
      <c r="C56" s="1211"/>
      <c r="D56" s="1211"/>
      <c r="E56" s="1211"/>
      <c r="F56" s="1211"/>
      <c r="G56" s="1211"/>
      <c r="H56" s="1211"/>
      <c r="I56" s="1211"/>
      <c r="J56" s="1211"/>
    </row>
    <row r="57" spans="2:10" x14ac:dyDescent="0.2">
      <c r="C57" s="1002"/>
      <c r="D57" s="1002"/>
      <c r="E57" s="1002"/>
      <c r="F57" s="1003"/>
      <c r="G57" s="1003"/>
      <c r="H57" s="1003"/>
      <c r="I57" s="1004"/>
      <c r="J57" s="1005"/>
    </row>
    <row r="58" spans="2:10" x14ac:dyDescent="0.2">
      <c r="C58" s="1002"/>
      <c r="D58" s="1002"/>
      <c r="E58" s="1002"/>
      <c r="F58" s="1003"/>
      <c r="G58" s="1003"/>
      <c r="H58" s="1003"/>
      <c r="I58" s="1004"/>
      <c r="J58" s="1005"/>
    </row>
    <row r="59" spans="2:10" x14ac:dyDescent="0.25">
      <c r="B59" s="391"/>
    </row>
    <row r="60" spans="2:10" x14ac:dyDescent="0.25">
      <c r="B60" s="1211"/>
      <c r="C60" s="1211"/>
      <c r="D60" s="1211"/>
      <c r="E60" s="1211"/>
      <c r="F60" s="1211"/>
      <c r="G60" s="1211"/>
      <c r="H60" s="1211"/>
      <c r="I60" s="1211"/>
      <c r="J60" s="1211"/>
    </row>
    <row r="62" spans="2:10" x14ac:dyDescent="0.25">
      <c r="B62" s="391"/>
    </row>
  </sheetData>
  <mergeCells count="7">
    <mergeCell ref="E10:H10"/>
    <mergeCell ref="B60:J60"/>
    <mergeCell ref="C12:E12"/>
    <mergeCell ref="F12:H12"/>
    <mergeCell ref="I12:I13"/>
    <mergeCell ref="J12:J13"/>
    <mergeCell ref="B56:J5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T54"/>
  <sheetViews>
    <sheetView showGridLines="0" zoomScale="80" zoomScaleNormal="80" workbookViewId="0"/>
  </sheetViews>
  <sheetFormatPr defaultRowHeight="12.75" x14ac:dyDescent="0.25"/>
  <cols>
    <col min="1" max="1" width="3.5703125" style="391" customWidth="1"/>
    <col min="2" max="2" width="19" style="391" customWidth="1"/>
    <col min="3" max="3" width="11.85546875" style="391" customWidth="1"/>
    <col min="4" max="4" width="14.5703125" style="391" customWidth="1"/>
    <col min="5" max="5" width="9.28515625" style="391" customWidth="1"/>
    <col min="6" max="6" width="19.42578125" style="391" customWidth="1"/>
    <col min="7" max="7" width="16" style="391" customWidth="1"/>
    <col min="8" max="8" width="17.5703125" style="391" customWidth="1"/>
    <col min="9" max="9" width="15.28515625" style="391" bestFit="1" customWidth="1"/>
    <col min="10" max="10" width="16.140625" style="391" customWidth="1"/>
    <col min="11" max="11" width="12.7109375" style="391" customWidth="1"/>
    <col min="12" max="14" width="16" style="391" customWidth="1"/>
    <col min="15" max="17" width="12.7109375" style="391" customWidth="1"/>
    <col min="18" max="18" width="15.42578125" style="391" customWidth="1"/>
    <col min="19" max="25" width="12.7109375" style="391" customWidth="1"/>
    <col min="26" max="26" width="7.7109375" style="391" customWidth="1"/>
    <col min="27" max="47" width="15.7109375" style="391" customWidth="1"/>
    <col min="48" max="48" width="4.140625" style="391" customWidth="1"/>
    <col min="49" max="69" width="15.7109375" style="391" customWidth="1"/>
    <col min="70" max="16384" width="9.140625" style="391"/>
  </cols>
  <sheetData>
    <row r="2" spans="2:20" ht="18.75" x14ac:dyDescent="0.25">
      <c r="B2" s="1011" t="str">
        <f>'About the Spreadsheet Tabs'!$B$3</f>
        <v>Benefit-Cost Assessment Spreadsheet for Access I-95: Driving Baltimore's City Development</v>
      </c>
    </row>
    <row r="3" spans="2:20" ht="18.75" x14ac:dyDescent="0.25">
      <c r="B3" s="1011" t="s">
        <v>811</v>
      </c>
    </row>
    <row r="4" spans="2:20" x14ac:dyDescent="0.25">
      <c r="B4" s="365"/>
    </row>
    <row r="5" spans="2:20" ht="34.5" customHeight="1" x14ac:dyDescent="0.25">
      <c r="B5" s="1024" t="s">
        <v>395</v>
      </c>
      <c r="C5" s="1073" t="s">
        <v>810</v>
      </c>
      <c r="D5" s="542"/>
      <c r="E5" s="1217"/>
      <c r="F5" s="1217"/>
      <c r="G5" s="1217"/>
      <c r="H5" s="542"/>
    </row>
    <row r="6" spans="2:20" ht="31.5" customHeight="1" x14ac:dyDescent="0.25">
      <c r="B6" s="1013" t="s">
        <v>782</v>
      </c>
      <c r="C6" s="441">
        <f>'VOC '!I38</f>
        <v>0.35749999999999998</v>
      </c>
    </row>
    <row r="7" spans="2:20" ht="31.5" customHeight="1" x14ac:dyDescent="0.25">
      <c r="B7" s="1013" t="s">
        <v>783</v>
      </c>
      <c r="C7" s="441">
        <f>'VOC '!I39</f>
        <v>0.9325</v>
      </c>
    </row>
    <row r="8" spans="2:20" x14ac:dyDescent="0.25">
      <c r="B8" s="392"/>
      <c r="C8" s="392"/>
      <c r="D8" s="392"/>
      <c r="E8" s="548"/>
      <c r="F8" s="392"/>
      <c r="G8" s="392"/>
      <c r="H8" s="392"/>
      <c r="I8" s="392"/>
      <c r="J8" s="392"/>
    </row>
    <row r="9" spans="2:20" ht="15" customHeight="1" x14ac:dyDescent="0.25">
      <c r="B9" s="1218"/>
      <c r="C9" s="1218"/>
      <c r="D9" s="1218"/>
      <c r="E9" s="1218"/>
      <c r="F9" s="1218"/>
      <c r="G9" s="1218"/>
      <c r="H9" s="1218"/>
      <c r="I9" s="391" t="s">
        <v>475</v>
      </c>
      <c r="K9" s="392"/>
      <c r="L9" s="392"/>
      <c r="M9" s="392"/>
      <c r="N9" s="392"/>
      <c r="O9" s="392"/>
      <c r="P9" s="392"/>
      <c r="Q9" s="392"/>
      <c r="R9" s="392"/>
      <c r="S9" s="392"/>
      <c r="T9" s="392"/>
    </row>
    <row r="10" spans="2:20" s="1014" customFormat="1" ht="33.75" customHeight="1" x14ac:dyDescent="0.25">
      <c r="B10" s="1215" t="s">
        <v>316</v>
      </c>
      <c r="C10" s="1212" t="s">
        <v>766</v>
      </c>
      <c r="D10" s="1212"/>
      <c r="E10" s="1212"/>
      <c r="F10" s="1215" t="s">
        <v>788</v>
      </c>
      <c r="G10" s="1215" t="s">
        <v>789</v>
      </c>
      <c r="H10" s="1215" t="s">
        <v>790</v>
      </c>
      <c r="I10" s="1215" t="s">
        <v>791</v>
      </c>
    </row>
    <row r="11" spans="2:20" s="1014" customFormat="1" ht="25.5" customHeight="1" x14ac:dyDescent="0.25">
      <c r="B11" s="1216"/>
      <c r="C11" s="1015" t="s">
        <v>498</v>
      </c>
      <c r="D11" s="1015" t="s">
        <v>499</v>
      </c>
      <c r="E11" s="1015" t="s">
        <v>160</v>
      </c>
      <c r="F11" s="1216"/>
      <c r="G11" s="1216"/>
      <c r="H11" s="1216"/>
      <c r="I11" s="1216"/>
    </row>
    <row r="12" spans="2:20" x14ac:dyDescent="0.25">
      <c r="B12" s="1025">
        <v>2020</v>
      </c>
      <c r="C12" s="1018" t="s">
        <v>643</v>
      </c>
      <c r="D12" s="1018" t="s">
        <v>643</v>
      </c>
      <c r="E12" s="1018" t="s">
        <v>643</v>
      </c>
      <c r="F12" s="1018" t="s">
        <v>643</v>
      </c>
      <c r="G12" s="1018" t="s">
        <v>643</v>
      </c>
      <c r="H12" s="1018" t="s">
        <v>643</v>
      </c>
      <c r="I12" s="1018" t="s">
        <v>643</v>
      </c>
    </row>
    <row r="13" spans="2:20" x14ac:dyDescent="0.25">
      <c r="B13" s="1025">
        <v>2021</v>
      </c>
      <c r="C13" s="1018" t="s">
        <v>643</v>
      </c>
      <c r="D13" s="1018" t="s">
        <v>643</v>
      </c>
      <c r="E13" s="1018" t="s">
        <v>643</v>
      </c>
      <c r="F13" s="1018" t="s">
        <v>643</v>
      </c>
      <c r="G13" s="1018" t="s">
        <v>643</v>
      </c>
      <c r="H13" s="1018" t="s">
        <v>643</v>
      </c>
      <c r="I13" s="1018" t="s">
        <v>643</v>
      </c>
    </row>
    <row r="14" spans="2:20" x14ac:dyDescent="0.25">
      <c r="B14" s="1025">
        <v>2022</v>
      </c>
      <c r="C14" s="1018">
        <f>'TDM Summary'!P13*AVO!$E$13*'Rates - Single'!$C$39</f>
        <v>-169463.35883680626</v>
      </c>
      <c r="D14" s="1018">
        <f>'TDM Summary'!P13*(1-AVO!$E$13)*'Rates - Single'!$C$38</f>
        <v>-1057570.1071887393</v>
      </c>
      <c r="E14" s="1018">
        <f>'TDM Summary'!Q13*'Rates - Single'!$C$40</f>
        <v>-155393.69522797625</v>
      </c>
      <c r="F14" s="1018">
        <f t="shared" ref="F14:F16" si="0">SUM(C14:E14)</f>
        <v>-1382427.1612535219</v>
      </c>
      <c r="G14" s="1019">
        <f>-SUM(C14:D14)*$C$6*'VOC '!C52</f>
        <v>1255995.4988990191</v>
      </c>
      <c r="H14" s="1019">
        <f>-E14*$C$7*'VOC '!D52</f>
        <v>488553.89878164016</v>
      </c>
      <c r="I14" s="1019">
        <f>SUM(G14:H14)</f>
        <v>1744549.3976806593</v>
      </c>
      <c r="J14" s="391" t="s">
        <v>475</v>
      </c>
      <c r="K14" s="391" t="s">
        <v>475</v>
      </c>
    </row>
    <row r="15" spans="2:20" x14ac:dyDescent="0.25">
      <c r="B15" s="1025">
        <v>2023</v>
      </c>
      <c r="C15" s="1018">
        <f>'TDM Summary'!P14*AVO!$E$13*'Rates - Single'!$C$39</f>
        <v>-178532.50244594589</v>
      </c>
      <c r="D15" s="1018">
        <f>'TDM Summary'!P14*(1-AVO!$E$13)*'Rates - Single'!$C$38</f>
        <v>-1114167.9183301099</v>
      </c>
      <c r="E15" s="1018">
        <f>'TDM Summary'!Q14*'Rates - Single'!$C$40</f>
        <v>-163655.59686994055</v>
      </c>
      <c r="F15" s="1018">
        <f t="shared" si="0"/>
        <v>-1456356.0176459965</v>
      </c>
      <c r="G15" s="1019">
        <f>-SUM(C15:D15)*$C$6*'VOC '!C53</f>
        <v>1344406.6310582601</v>
      </c>
      <c r="H15" s="1019">
        <f>-E15*$C$7*'VOC '!D53</f>
        <v>523093.51963609416</v>
      </c>
      <c r="I15" s="1019">
        <f t="shared" ref="I15:I53" si="1">SUM(G15:H15)</f>
        <v>1867500.1506943542</v>
      </c>
      <c r="J15" s="391" t="s">
        <v>475</v>
      </c>
    </row>
    <row r="16" spans="2:20" x14ac:dyDescent="0.25">
      <c r="B16" s="1025">
        <v>2024</v>
      </c>
      <c r="C16" s="1018">
        <f>'TDM Summary'!P15*AVO!$E$13*'Rates - Single'!$C$39</f>
        <v>-187601.64605508553</v>
      </c>
      <c r="D16" s="1018">
        <f>'TDM Summary'!P15*(1-AVO!$E$13)*'Rates - Single'!$C$38</f>
        <v>-1170765.7294714805</v>
      </c>
      <c r="E16" s="1018">
        <f>'TDM Summary'!Q15*'Rates - Single'!$C$40</f>
        <v>-171917.49851190482</v>
      </c>
      <c r="F16" s="1018">
        <f t="shared" si="0"/>
        <v>-1530284.8740384709</v>
      </c>
      <c r="G16" s="1019">
        <f>-SUM(C16:D16)*$C$6*'VOC '!C54</f>
        <v>1425545.695568952</v>
      </c>
      <c r="H16" s="1019">
        <f>-E16*$C$7*'VOC '!D54</f>
        <v>557950.7140127148</v>
      </c>
      <c r="I16" s="1019">
        <f t="shared" si="1"/>
        <v>1983496.4095816668</v>
      </c>
    </row>
    <row r="17" spans="2:12" x14ac:dyDescent="0.25">
      <c r="B17" s="1025">
        <v>2025</v>
      </c>
      <c r="C17" s="1018">
        <f>'TDM Summary'!P16*AVO!$E$13*'Rates - Single'!$C$39</f>
        <v>-196670.78966422507</v>
      </c>
      <c r="D17" s="1018">
        <f>'TDM Summary'!P16*(1-AVO!$E$13)*'Rates - Single'!$C$38</f>
        <v>-1227363.5406128508</v>
      </c>
      <c r="E17" s="1018">
        <f>'TDM Summary'!Q16*'Rates - Single'!$C$40</f>
        <v>-180179.40015386915</v>
      </c>
      <c r="F17" s="1018">
        <f>SUM(C17:E17)</f>
        <v>-1604213.7304309451</v>
      </c>
      <c r="G17" s="1019">
        <f>-SUM(C17:D17)*$C$6*'VOC '!C55</f>
        <v>1512793.65314548</v>
      </c>
      <c r="H17" s="1019">
        <f>-E17*$C$7*'VOC '!D55</f>
        <v>595714.71294474497</v>
      </c>
      <c r="I17" s="1019">
        <f t="shared" si="1"/>
        <v>2108508.3660902251</v>
      </c>
    </row>
    <row r="18" spans="2:12" x14ac:dyDescent="0.25">
      <c r="B18" s="1025">
        <v>2026</v>
      </c>
      <c r="C18" s="1018">
        <f>'TDM Summary'!P17*AVO!$E$13*'Rates - Single'!$C$39</f>
        <v>-205739.93327336473</v>
      </c>
      <c r="D18" s="1018">
        <f>'TDM Summary'!P17*(1-AVO!$E$13)*'Rates - Single'!$C$38</f>
        <v>-1283961.3517542211</v>
      </c>
      <c r="E18" s="1018">
        <f>'TDM Summary'!Q17*'Rates - Single'!$C$40</f>
        <v>-188441.30179583342</v>
      </c>
      <c r="F18" s="1018">
        <f t="shared" ref="F18:F32" si="2">SUM(C18:E18)</f>
        <v>-1678142.5868234194</v>
      </c>
      <c r="G18" s="1019">
        <f>-SUM(C18:D18)*$C$6*'VOC '!C56</f>
        <v>1615262.8694877075</v>
      </c>
      <c r="H18" s="1019">
        <f>-E18*$C$7*'VOC '!D56</f>
        <v>636400.59085448331</v>
      </c>
      <c r="I18" s="1019">
        <f t="shared" si="1"/>
        <v>2251663.4603421907</v>
      </c>
    </row>
    <row r="19" spans="2:12" x14ac:dyDescent="0.25">
      <c r="B19" s="1025">
        <v>2027</v>
      </c>
      <c r="C19" s="1018">
        <f>'TDM Summary'!P18*AVO!$E$13*'Rates - Single'!$C$39</f>
        <v>-214809.07688250433</v>
      </c>
      <c r="D19" s="1018">
        <f>'TDM Summary'!P18*(1-AVO!$E$13)*'Rates - Single'!$C$38</f>
        <v>-1340559.1628955919</v>
      </c>
      <c r="E19" s="1018">
        <f>'TDM Summary'!Q18*'Rates - Single'!$C$40</f>
        <v>-196703.20343779767</v>
      </c>
      <c r="F19" s="1018">
        <f t="shared" si="2"/>
        <v>-1752071.443215894</v>
      </c>
      <c r="G19" s="1019">
        <f>-SUM(C19:D19)*$C$6*'VOC '!C57</f>
        <v>1713172.5690095283</v>
      </c>
      <c r="H19" s="1019">
        <f>-E19*$C$7*'VOC '!D57</f>
        <v>675944.75213721662</v>
      </c>
      <c r="I19" s="1019">
        <f t="shared" si="1"/>
        <v>2389117.3211467448</v>
      </c>
    </row>
    <row r="20" spans="2:12" x14ac:dyDescent="0.25">
      <c r="B20" s="1025">
        <v>2028</v>
      </c>
      <c r="C20" s="1018">
        <f>'TDM Summary'!P19*AVO!$E$13*'Rates - Single'!$C$39</f>
        <v>-223878.220491644</v>
      </c>
      <c r="D20" s="1018">
        <f>'TDM Summary'!P19*(1-AVO!$E$13)*'Rates - Single'!$C$38</f>
        <v>-1397156.9740369625</v>
      </c>
      <c r="E20" s="1018">
        <f>'TDM Summary'!Q19*'Rates - Single'!$C$40</f>
        <v>-204965.10507976203</v>
      </c>
      <c r="F20" s="1018">
        <f t="shared" si="2"/>
        <v>-1826000.2996083684</v>
      </c>
      <c r="G20" s="1019">
        <f>-SUM(C20:D20)*$C$6*'VOC '!C58</f>
        <v>1804514.2676291913</v>
      </c>
      <c r="H20" s="1019">
        <f>-E20*$C$7*'VOC '!D58</f>
        <v>713764.13416045893</v>
      </c>
      <c r="I20" s="1019">
        <f t="shared" si="1"/>
        <v>2518278.4017896503</v>
      </c>
      <c r="K20" s="391" t="s">
        <v>475</v>
      </c>
    </row>
    <row r="21" spans="2:12" x14ac:dyDescent="0.25">
      <c r="B21" s="1025">
        <v>2029</v>
      </c>
      <c r="C21" s="1018">
        <f>'TDM Summary'!P20*AVO!$E$13*'Rates - Single'!$C$39</f>
        <v>-232947.36410078363</v>
      </c>
      <c r="D21" s="1018">
        <f>'TDM Summary'!P20*(1-AVO!$E$13)*'Rates - Single'!$C$38</f>
        <v>-1453754.7851783331</v>
      </c>
      <c r="E21" s="1018">
        <f>'TDM Summary'!Q20*'Rates - Single'!$C$40</f>
        <v>-213227.00672172627</v>
      </c>
      <c r="F21" s="1018">
        <f t="shared" si="2"/>
        <v>-1899929.1560008428</v>
      </c>
      <c r="G21" s="1019">
        <f>-SUM(C21:D21)*$C$6*'VOC '!C59</f>
        <v>1905809.9197790509</v>
      </c>
      <c r="H21" s="1019">
        <f>-E21*$C$7*'VOC '!D59</f>
        <v>756276.35617336468</v>
      </c>
      <c r="I21" s="1019">
        <f t="shared" si="1"/>
        <v>2662086.2759524155</v>
      </c>
    </row>
    <row r="22" spans="2:12" x14ac:dyDescent="0.25">
      <c r="B22" s="1025">
        <v>2030</v>
      </c>
      <c r="C22" s="1018">
        <f>'TDM Summary'!P21*AVO!$E$13*'Rates - Single'!$C$39</f>
        <v>-242016.5077099232</v>
      </c>
      <c r="D22" s="1018">
        <f>'TDM Summary'!P21*(1-AVO!$E$13)*'Rates - Single'!$C$38</f>
        <v>-1510352.5963197032</v>
      </c>
      <c r="E22" s="1018">
        <f>'TDM Summary'!Q21*'Rates - Single'!$C$40</f>
        <v>-221488.90836369063</v>
      </c>
      <c r="F22" s="1018">
        <f t="shared" si="2"/>
        <v>-1973858.012393317</v>
      </c>
      <c r="G22" s="1019">
        <f>-SUM(C22:D22)*$C$6*'VOC '!C60</f>
        <v>1999632.0733451706</v>
      </c>
      <c r="H22" s="1019">
        <f>-E22*$C$7*'VOC '!D60</f>
        <v>795281.0932644885</v>
      </c>
      <c r="I22" s="1019">
        <f t="shared" si="1"/>
        <v>2794913.1666096589</v>
      </c>
    </row>
    <row r="23" spans="2:12" x14ac:dyDescent="0.25">
      <c r="B23" s="1025">
        <v>2031</v>
      </c>
      <c r="C23" s="1018">
        <f>'TDM Summary'!P22*AVO!$E$13*'Rates - Single'!$C$39</f>
        <v>-251085.6513190628</v>
      </c>
      <c r="D23" s="1018">
        <f>'TDM Summary'!P22*(1-AVO!$E$13)*'Rates - Single'!$C$38</f>
        <v>-1566950.4074610739</v>
      </c>
      <c r="E23" s="1018">
        <f>'TDM Summary'!Q22*'Rates - Single'!$C$40</f>
        <v>-229750.81000565487</v>
      </c>
      <c r="F23" s="1018">
        <f t="shared" si="2"/>
        <v>-2047786.8687857916</v>
      </c>
      <c r="G23" s="1019">
        <f>-SUM(C23:D23)*$C$6*'VOC '!C61</f>
        <v>2112076.5161697851</v>
      </c>
      <c r="H23" s="1019">
        <f>-E23*$C$7*'VOC '!D61</f>
        <v>841924.26139299758</v>
      </c>
      <c r="I23" s="1019">
        <f t="shared" si="1"/>
        <v>2954000.7775627826</v>
      </c>
    </row>
    <row r="24" spans="2:12" x14ac:dyDescent="0.25">
      <c r="B24" s="1025">
        <v>2032</v>
      </c>
      <c r="C24" s="1018">
        <f>'TDM Summary'!P23*AVO!$E$13*'Rates - Single'!$C$39</f>
        <v>-260154.79492820246</v>
      </c>
      <c r="D24" s="1018">
        <f>'TDM Summary'!P23*(1-AVO!$E$13)*'Rates - Single'!$C$38</f>
        <v>-1623548.2186024443</v>
      </c>
      <c r="E24" s="1018">
        <f>'TDM Summary'!Q23*'Rates - Single'!$C$40</f>
        <v>-238012.71164761914</v>
      </c>
      <c r="F24" s="1018">
        <f t="shared" si="2"/>
        <v>-2121715.7251782659</v>
      </c>
      <c r="G24" s="1019">
        <f>-SUM(C24:D24)*$C$6*'VOC '!C62</f>
        <v>2232858.5892492551</v>
      </c>
      <c r="H24" s="1019">
        <f>-E24*$C$7*'VOC '!D62</f>
        <v>891303.71844738501</v>
      </c>
      <c r="I24" s="1019">
        <f t="shared" si="1"/>
        <v>3124162.30769664</v>
      </c>
      <c r="K24" s="391" t="s">
        <v>475</v>
      </c>
    </row>
    <row r="25" spans="2:12" x14ac:dyDescent="0.25">
      <c r="B25" s="1025">
        <v>2033</v>
      </c>
      <c r="C25" s="1018">
        <f>'TDM Summary'!P24*AVO!$E$13*'Rates - Single'!$C$39</f>
        <v>-269223.93853734207</v>
      </c>
      <c r="D25" s="1018">
        <f>'TDM Summary'!P24*(1-AVO!$E$13)*'Rates - Single'!$C$38</f>
        <v>-1680146.0297438148</v>
      </c>
      <c r="E25" s="1018">
        <f>'TDM Summary'!Q24*'Rates - Single'!$C$40</f>
        <v>-246274.61328958347</v>
      </c>
      <c r="F25" s="1018">
        <f t="shared" si="2"/>
        <v>-2195644.5815707403</v>
      </c>
      <c r="G25" s="1019">
        <f>-SUM(C25:D25)*$C$6*'VOC '!C63</f>
        <v>2357722.0106261754</v>
      </c>
      <c r="H25" s="1019">
        <f>-E25*$C$7*'VOC '!D63</f>
        <v>941875.31049382093</v>
      </c>
      <c r="I25" s="1019">
        <f t="shared" si="1"/>
        <v>3299597.3211199963</v>
      </c>
    </row>
    <row r="26" spans="2:12" x14ac:dyDescent="0.25">
      <c r="B26" s="1025">
        <v>2034</v>
      </c>
      <c r="C26" s="1018">
        <f>'TDM Summary'!P25*AVO!$E$13*'Rates - Single'!$C$39</f>
        <v>-278293.08214648173</v>
      </c>
      <c r="D26" s="1018">
        <f>'TDM Summary'!P25*(1-AVO!$E$13)*'Rates - Single'!$C$38</f>
        <v>-1736743.8408851854</v>
      </c>
      <c r="E26" s="1018">
        <f>'TDM Summary'!Q25*'Rates - Single'!$C$40</f>
        <v>-254536.51493154775</v>
      </c>
      <c r="F26" s="1018">
        <f t="shared" si="2"/>
        <v>-2269573.4379632152</v>
      </c>
      <c r="G26" s="1019">
        <f>-SUM(C26:D26)*$C$6*'VOC '!C64</f>
        <v>2482823.1151661379</v>
      </c>
      <c r="H26" s="1019">
        <f>-E26*$C$7*'VOC '!D64</f>
        <v>994007.91912169626</v>
      </c>
      <c r="I26" s="1019">
        <f t="shared" si="1"/>
        <v>3476831.0342878341</v>
      </c>
      <c r="J26" s="391" t="s">
        <v>475</v>
      </c>
      <c r="L26" s="391" t="s">
        <v>475</v>
      </c>
    </row>
    <row r="27" spans="2:12" x14ac:dyDescent="0.25">
      <c r="B27" s="1025">
        <v>2035</v>
      </c>
      <c r="C27" s="1018">
        <f>'TDM Summary'!P26*AVO!$E$13*'Rates - Single'!$C$39</f>
        <v>-287362.22575562127</v>
      </c>
      <c r="D27" s="1018">
        <f>'TDM Summary'!P26*(1-AVO!$E$13)*'Rates - Single'!$C$38</f>
        <v>-1793341.6520265555</v>
      </c>
      <c r="E27" s="1018">
        <f>'TDM Summary'!Q26*'Rates - Single'!$C$40</f>
        <v>-262798.41657351202</v>
      </c>
      <c r="F27" s="1018">
        <f t="shared" si="2"/>
        <v>-2343502.2943556886</v>
      </c>
      <c r="G27" s="1019">
        <f>-SUM(C27:D27)*$C$6*'VOC '!C65</f>
        <v>2583516.4930081014</v>
      </c>
      <c r="H27" s="1019">
        <f>-E27*$C$7*'VOC '!D65</f>
        <v>1042702.5410502112</v>
      </c>
      <c r="I27" s="1019">
        <f t="shared" si="1"/>
        <v>3626219.0340583124</v>
      </c>
    </row>
    <row r="28" spans="2:12" x14ac:dyDescent="0.25">
      <c r="B28" s="1025">
        <v>2036</v>
      </c>
      <c r="C28" s="1018">
        <f>'TDM Summary'!P27*AVO!$E$13*'Rates - Single'!$C$39</f>
        <v>-296431.36936476087</v>
      </c>
      <c r="D28" s="1018">
        <f>'TDM Summary'!P27*(1-AVO!$E$13)*'Rates - Single'!$C$38</f>
        <v>-1849939.4631679261</v>
      </c>
      <c r="E28" s="1018">
        <f>'TDM Summary'!Q27*'Rates - Single'!$C$40</f>
        <v>-271060.31821547635</v>
      </c>
      <c r="F28" s="1018">
        <f t="shared" si="2"/>
        <v>-2417431.1507481635</v>
      </c>
      <c r="G28" s="1019">
        <f>-SUM(C28:D28)*$C$6*'VOC '!C66</f>
        <v>2717691.6382947168</v>
      </c>
      <c r="H28" s="1019">
        <f>-E28*$C$7*'VOC '!D66</f>
        <v>1098731.1477740195</v>
      </c>
      <c r="I28" s="1019">
        <f t="shared" si="1"/>
        <v>3816422.7860687366</v>
      </c>
      <c r="K28" s="391" t="s">
        <v>475</v>
      </c>
    </row>
    <row r="29" spans="2:12" x14ac:dyDescent="0.25">
      <c r="B29" s="1025">
        <v>2037</v>
      </c>
      <c r="C29" s="1018">
        <f>'TDM Summary'!P28*AVO!$E$13*'Rates - Single'!$C$39</f>
        <v>-305500.51297390054</v>
      </c>
      <c r="D29" s="1018">
        <f>'TDM Summary'!P28*(1-AVO!$E$13)*'Rates - Single'!$C$38</f>
        <v>-1906537.2743092969</v>
      </c>
      <c r="E29" s="1018">
        <f>'TDM Summary'!Q28*'Rates - Single'!$C$40</f>
        <v>-279322.21985744062</v>
      </c>
      <c r="F29" s="1018">
        <f t="shared" si="2"/>
        <v>-2491360.0071406383</v>
      </c>
      <c r="G29" s="1019">
        <f>-SUM(C29:D29)*$C$6*'VOC '!C67</f>
        <v>2831090.0057140519</v>
      </c>
      <c r="H29" s="1019">
        <f>-E29*$C$7*'VOC '!D67</f>
        <v>1145887.6801508076</v>
      </c>
      <c r="I29" s="1019">
        <f t="shared" si="1"/>
        <v>3976977.6858648593</v>
      </c>
    </row>
    <row r="30" spans="2:12" x14ac:dyDescent="0.25">
      <c r="B30" s="1025">
        <v>2038</v>
      </c>
      <c r="C30" s="1018">
        <f>'TDM Summary'!P29*AVO!$E$13*'Rates - Single'!$C$39</f>
        <v>-314569.6565830402</v>
      </c>
      <c r="D30" s="1018">
        <f>'TDM Summary'!P29*(1-AVO!$E$13)*'Rates - Single'!$C$38</f>
        <v>-1963135.0854506674</v>
      </c>
      <c r="E30" s="1018">
        <f>'TDM Summary'!Q29*'Rates - Single'!$C$40</f>
        <v>-287584.12149940495</v>
      </c>
      <c r="F30" s="1018">
        <f t="shared" si="2"/>
        <v>-2565288.8635331122</v>
      </c>
      <c r="G30" s="1019">
        <f>-SUM(C30:D30)*$C$6*'VOC '!C68</f>
        <v>2977960.8017222062</v>
      </c>
      <c r="H30" s="1019">
        <f>-E30*$C$7*'VOC '!D68</f>
        <v>1204989.6475510921</v>
      </c>
      <c r="I30" s="1019">
        <f t="shared" si="1"/>
        <v>4182950.4492732985</v>
      </c>
    </row>
    <row r="31" spans="2:12" x14ac:dyDescent="0.25">
      <c r="B31" s="1025">
        <v>2039</v>
      </c>
      <c r="C31" s="1018">
        <f>'TDM Summary'!P30*AVO!$E$13*'Rates - Single'!$C$39</f>
        <v>-323638.8001921798</v>
      </c>
      <c r="D31" s="1018">
        <f>'TDM Summary'!P30*(1-AVO!$E$13)*'Rates - Single'!$C$38</f>
        <v>-2019732.896592038</v>
      </c>
      <c r="E31" s="1018">
        <f>'TDM Summary'!Q30*'Rates - Single'!$C$40</f>
        <v>-295846.02314136922</v>
      </c>
      <c r="F31" s="1018">
        <f t="shared" si="2"/>
        <v>-2639217.7199255871</v>
      </c>
      <c r="G31" s="1019">
        <f>-SUM(C31:D31)*$C$6*'VOC '!C69</f>
        <v>3117457.8392773964</v>
      </c>
      <c r="H31" s="1019">
        <f>-E31*$C$7*'VOC '!D69</f>
        <v>1261409.6026276494</v>
      </c>
      <c r="I31" s="1019">
        <f t="shared" si="1"/>
        <v>4378867.4419050459</v>
      </c>
    </row>
    <row r="32" spans="2:12" x14ac:dyDescent="0.25">
      <c r="B32" s="1025">
        <v>2040</v>
      </c>
      <c r="C32" s="1018">
        <f>'TDM Summary'!P31*AVO!$E$13*'Rates - Single'!$C$39</f>
        <v>-332707.94380131928</v>
      </c>
      <c r="D32" s="1018">
        <f>'TDM Summary'!P31*(1-AVO!$E$13)*'Rates - Single'!$C$38</f>
        <v>-2076330.7077334074</v>
      </c>
      <c r="E32" s="1018">
        <f>'TDM Summary'!Q31*'Rates - Single'!$C$40</f>
        <v>-304107.92478333338</v>
      </c>
      <c r="F32" s="1018">
        <f t="shared" si="2"/>
        <v>-2713146.57631806</v>
      </c>
      <c r="G32" s="1019">
        <f>-SUM(C32:D32)*$C$6*'VOC '!$C$70</f>
        <v>3277162.5783510371</v>
      </c>
      <c r="H32" s="1019">
        <f>-E32*$C$7*'VOC '!$D$70</f>
        <v>1327265.7223513718</v>
      </c>
      <c r="I32" s="1019">
        <f t="shared" si="1"/>
        <v>4604428.3007024089</v>
      </c>
    </row>
    <row r="33" spans="2:11" ht="15" customHeight="1" x14ac:dyDescent="0.25">
      <c r="B33" s="1025">
        <v>2041</v>
      </c>
      <c r="C33" s="1018">
        <f>'TDM Summary'!P32*AVO!$E$13*'Rates - Single'!$C$39</f>
        <v>-332707.94380131928</v>
      </c>
      <c r="D33" s="1018">
        <f>'TDM Summary'!P32*(1-AVO!$E$13)*'Rates - Single'!$C$38</f>
        <v>-2076330.7077334074</v>
      </c>
      <c r="E33" s="1018">
        <f>'TDM Summary'!Q32*'Rates - Single'!$C$40</f>
        <v>-304107.92478333338</v>
      </c>
      <c r="F33" s="1018">
        <f t="shared" ref="F33:F53" si="3">SUM(C33:E33)</f>
        <v>-2713146.57631806</v>
      </c>
      <c r="G33" s="1019">
        <f>-SUM(C33:D33)*$C$6*'VOC '!$C$70</f>
        <v>3277162.5783510371</v>
      </c>
      <c r="H33" s="1019">
        <f>-E33*$C$7*'VOC '!$D$70</f>
        <v>1327265.7223513718</v>
      </c>
      <c r="I33" s="1019">
        <f t="shared" si="1"/>
        <v>4604428.3007024089</v>
      </c>
    </row>
    <row r="34" spans="2:11" x14ac:dyDescent="0.25">
      <c r="B34" s="1025">
        <v>2042</v>
      </c>
      <c r="C34" s="1018">
        <f>'TDM Summary'!P33*AVO!$E$13*'Rates - Single'!$C$39</f>
        <v>-332707.94380131928</v>
      </c>
      <c r="D34" s="1018">
        <f>'TDM Summary'!P33*(1-AVO!$E$13)*'Rates - Single'!$C$38</f>
        <v>-2076330.7077334074</v>
      </c>
      <c r="E34" s="1018">
        <f>'TDM Summary'!Q33*'Rates - Single'!$C$40</f>
        <v>-304107.92478333338</v>
      </c>
      <c r="F34" s="1018">
        <f t="shared" si="3"/>
        <v>-2713146.57631806</v>
      </c>
      <c r="G34" s="1019">
        <f>-SUM(C34:D34)*$C$6*'VOC '!$C$70</f>
        <v>3277162.5783510371</v>
      </c>
      <c r="H34" s="1019">
        <f>-E34*$C$7*'VOC '!$D$70</f>
        <v>1327265.7223513718</v>
      </c>
      <c r="I34" s="1019">
        <f t="shared" si="1"/>
        <v>4604428.3007024089</v>
      </c>
    </row>
    <row r="35" spans="2:11" x14ac:dyDescent="0.25">
      <c r="B35" s="1025">
        <v>2043</v>
      </c>
      <c r="C35" s="1018">
        <f>'TDM Summary'!P34*AVO!$E$13*'Rates - Single'!$C$39</f>
        <v>-332707.94380131928</v>
      </c>
      <c r="D35" s="1018">
        <f>'TDM Summary'!P34*(1-AVO!$E$13)*'Rates - Single'!$C$38</f>
        <v>-2076330.7077334074</v>
      </c>
      <c r="E35" s="1018">
        <f>'TDM Summary'!Q34*'Rates - Single'!$C$40</f>
        <v>-304107.92478333338</v>
      </c>
      <c r="F35" s="1018">
        <f t="shared" si="3"/>
        <v>-2713146.57631806</v>
      </c>
      <c r="G35" s="1019">
        <f>-SUM(C35:D35)*$C$6*'VOC '!$C$70</f>
        <v>3277162.5783510371</v>
      </c>
      <c r="H35" s="1019">
        <f>-E35*$C$7*'VOC '!$D$70</f>
        <v>1327265.7223513718</v>
      </c>
      <c r="I35" s="1019">
        <f t="shared" si="1"/>
        <v>4604428.3007024089</v>
      </c>
    </row>
    <row r="36" spans="2:11" x14ac:dyDescent="0.25">
      <c r="B36" s="1025">
        <v>2044</v>
      </c>
      <c r="C36" s="1018">
        <f>'TDM Summary'!P35*AVO!$E$13*'Rates - Single'!$C$39</f>
        <v>-332707.94380131928</v>
      </c>
      <c r="D36" s="1018">
        <f>'TDM Summary'!P35*(1-AVO!$E$13)*'Rates - Single'!$C$38</f>
        <v>-2076330.7077334074</v>
      </c>
      <c r="E36" s="1018">
        <f>'TDM Summary'!Q35*'Rates - Single'!$C$40</f>
        <v>-304107.92478333338</v>
      </c>
      <c r="F36" s="1018">
        <f t="shared" si="3"/>
        <v>-2713146.57631806</v>
      </c>
      <c r="G36" s="1019">
        <f>-SUM(C36:D36)*$C$6*'VOC '!$C$70</f>
        <v>3277162.5783510371</v>
      </c>
      <c r="H36" s="1019">
        <f>-E36*$C$7*'VOC '!$D$70</f>
        <v>1327265.7223513718</v>
      </c>
      <c r="I36" s="1019">
        <f t="shared" si="1"/>
        <v>4604428.3007024089</v>
      </c>
    </row>
    <row r="37" spans="2:11" x14ac:dyDescent="0.25">
      <c r="B37" s="1025">
        <v>2045</v>
      </c>
      <c r="C37" s="1018">
        <f>'TDM Summary'!P36*AVO!$E$13*'Rates - Single'!$C$39</f>
        <v>-332707.94380131928</v>
      </c>
      <c r="D37" s="1018">
        <f>'TDM Summary'!P36*(1-AVO!$E$13)*'Rates - Single'!$C$38</f>
        <v>-2076330.7077334074</v>
      </c>
      <c r="E37" s="1018">
        <f>'TDM Summary'!Q36*'Rates - Single'!$C$40</f>
        <v>-304107.92478333338</v>
      </c>
      <c r="F37" s="1018">
        <f t="shared" si="3"/>
        <v>-2713146.57631806</v>
      </c>
      <c r="G37" s="1019">
        <f>-SUM(C37:D37)*$C$6*'VOC '!$C$70</f>
        <v>3277162.5783510371</v>
      </c>
      <c r="H37" s="1019">
        <f>-E37*$C$7*'VOC '!$D$70</f>
        <v>1327265.7223513718</v>
      </c>
      <c r="I37" s="1019">
        <f t="shared" si="1"/>
        <v>4604428.3007024089</v>
      </c>
      <c r="K37" s="391" t="s">
        <v>475</v>
      </c>
    </row>
    <row r="38" spans="2:11" x14ac:dyDescent="0.25">
      <c r="B38" s="1025">
        <v>2046</v>
      </c>
      <c r="C38" s="1018">
        <f>'TDM Summary'!P37*AVO!$E$13*'Rates - Single'!$C$39</f>
        <v>-332707.94380131928</v>
      </c>
      <c r="D38" s="1018">
        <f>'TDM Summary'!P37*(1-AVO!$E$13)*'Rates - Single'!$C$38</f>
        <v>-2076330.7077334074</v>
      </c>
      <c r="E38" s="1018">
        <f>'TDM Summary'!Q37*'Rates - Single'!$C$40</f>
        <v>-304107.92478333338</v>
      </c>
      <c r="F38" s="1018">
        <f t="shared" si="3"/>
        <v>-2713146.57631806</v>
      </c>
      <c r="G38" s="1019">
        <f>-SUM(C38:D38)*$C$6*'VOC '!$C$70</f>
        <v>3277162.5783510371</v>
      </c>
      <c r="H38" s="1019">
        <f>-E38*$C$7*'VOC '!$D$70</f>
        <v>1327265.7223513718</v>
      </c>
      <c r="I38" s="1019">
        <f t="shared" si="1"/>
        <v>4604428.3007024089</v>
      </c>
    </row>
    <row r="39" spans="2:11" x14ac:dyDescent="0.25">
      <c r="B39" s="1025">
        <v>2047</v>
      </c>
      <c r="C39" s="1018">
        <f>'TDM Summary'!P38*AVO!$E$13*'Rates - Single'!$C$39</f>
        <v>-332707.94380131928</v>
      </c>
      <c r="D39" s="1018">
        <f>'TDM Summary'!P38*(1-AVO!$E$13)*'Rates - Single'!$C$38</f>
        <v>-2076330.7077334074</v>
      </c>
      <c r="E39" s="1018">
        <f>'TDM Summary'!Q38*'Rates - Single'!$C$40</f>
        <v>-304107.92478333338</v>
      </c>
      <c r="F39" s="1018">
        <f t="shared" si="3"/>
        <v>-2713146.57631806</v>
      </c>
      <c r="G39" s="1019">
        <f>-SUM(C39:D39)*$C$6*'VOC '!$C$70</f>
        <v>3277162.5783510371</v>
      </c>
      <c r="H39" s="1019">
        <f>-E39*$C$7*'VOC '!$D$70</f>
        <v>1327265.7223513718</v>
      </c>
      <c r="I39" s="1019">
        <f t="shared" si="1"/>
        <v>4604428.3007024089</v>
      </c>
    </row>
    <row r="40" spans="2:11" x14ac:dyDescent="0.25">
      <c r="B40" s="1025">
        <v>2048</v>
      </c>
      <c r="C40" s="1018">
        <f>'TDM Summary'!P39*AVO!$E$13*'Rates - Single'!$C$39</f>
        <v>-332707.94380131928</v>
      </c>
      <c r="D40" s="1018">
        <f>'TDM Summary'!P39*(1-AVO!$E$13)*'Rates - Single'!$C$38</f>
        <v>-2076330.7077334074</v>
      </c>
      <c r="E40" s="1018">
        <f>'TDM Summary'!Q39*'Rates - Single'!$C$40</f>
        <v>-304107.92478333338</v>
      </c>
      <c r="F40" s="1018">
        <f t="shared" si="3"/>
        <v>-2713146.57631806</v>
      </c>
      <c r="G40" s="1019">
        <f>-SUM(C40:D40)*$C$6*'VOC '!$C$70</f>
        <v>3277162.5783510371</v>
      </c>
      <c r="H40" s="1019">
        <f>-E40*$C$7*'VOC '!$D$70</f>
        <v>1327265.7223513718</v>
      </c>
      <c r="I40" s="1019">
        <f t="shared" si="1"/>
        <v>4604428.3007024089</v>
      </c>
    </row>
    <row r="41" spans="2:11" x14ac:dyDescent="0.25">
      <c r="B41" s="1025">
        <v>2049</v>
      </c>
      <c r="C41" s="1018">
        <f>'TDM Summary'!P40*AVO!$E$13*'Rates - Single'!$C$39</f>
        <v>-332707.94380131928</v>
      </c>
      <c r="D41" s="1018">
        <f>'TDM Summary'!P40*(1-AVO!$E$13)*'Rates - Single'!$C$38</f>
        <v>-2076330.7077334074</v>
      </c>
      <c r="E41" s="1018">
        <f>'TDM Summary'!Q40*'Rates - Single'!$C$40</f>
        <v>-304107.92478333338</v>
      </c>
      <c r="F41" s="1018">
        <f t="shared" si="3"/>
        <v>-2713146.57631806</v>
      </c>
      <c r="G41" s="1019">
        <f>-SUM(C41:D41)*$C$6*'VOC '!$C$70</f>
        <v>3277162.5783510371</v>
      </c>
      <c r="H41" s="1019">
        <f>-E41*$C$7*'VOC '!$D$70</f>
        <v>1327265.7223513718</v>
      </c>
      <c r="I41" s="1019">
        <f t="shared" si="1"/>
        <v>4604428.3007024089</v>
      </c>
    </row>
    <row r="42" spans="2:11" x14ac:dyDescent="0.25">
      <c r="B42" s="1025">
        <v>2050</v>
      </c>
      <c r="C42" s="1018">
        <f>'TDM Summary'!P41*AVO!$E$13*'Rates - Single'!$C$39</f>
        <v>-332707.94380131928</v>
      </c>
      <c r="D42" s="1018">
        <f>'TDM Summary'!P41*(1-AVO!$E$13)*'Rates - Single'!$C$38</f>
        <v>-2076330.7077334074</v>
      </c>
      <c r="E42" s="1018">
        <f>'TDM Summary'!Q41*'Rates - Single'!$C$40</f>
        <v>-304107.92478333338</v>
      </c>
      <c r="F42" s="1018">
        <f t="shared" si="3"/>
        <v>-2713146.57631806</v>
      </c>
      <c r="G42" s="1019">
        <f>-SUM(C42:D42)*$C$6*'VOC '!$C$70</f>
        <v>3277162.5783510371</v>
      </c>
      <c r="H42" s="1019">
        <f>-E42*$C$7*'VOC '!$D$70</f>
        <v>1327265.7223513718</v>
      </c>
      <c r="I42" s="1019">
        <f t="shared" si="1"/>
        <v>4604428.3007024089</v>
      </c>
    </row>
    <row r="43" spans="2:11" x14ac:dyDescent="0.25">
      <c r="B43" s="1025">
        <v>2051</v>
      </c>
      <c r="C43" s="1018">
        <f>'TDM Summary'!P42*AVO!$E$13*'Rates - Single'!$C$39</f>
        <v>-332707.94380131928</v>
      </c>
      <c r="D43" s="1018">
        <f>'TDM Summary'!P42*(1-AVO!$E$13)*'Rates - Single'!$C$38</f>
        <v>-2076330.7077334074</v>
      </c>
      <c r="E43" s="1018">
        <f>'TDM Summary'!Q42*'Rates - Single'!$C$40</f>
        <v>-304107.92478333338</v>
      </c>
      <c r="F43" s="1018">
        <f t="shared" si="3"/>
        <v>-2713146.57631806</v>
      </c>
      <c r="G43" s="1019">
        <f>-SUM(C43:D43)*$C$6*'VOC '!$C$70</f>
        <v>3277162.5783510371</v>
      </c>
      <c r="H43" s="1019">
        <f>-E43*$C$7*'VOC '!$D$70</f>
        <v>1327265.7223513718</v>
      </c>
      <c r="I43" s="1019">
        <f t="shared" si="1"/>
        <v>4604428.3007024089</v>
      </c>
    </row>
    <row r="44" spans="2:11" x14ac:dyDescent="0.25">
      <c r="B44" s="1025">
        <v>2052</v>
      </c>
      <c r="C44" s="1018">
        <f>'TDM Summary'!P43*AVO!$E$13*'Rates - Single'!$C$39</f>
        <v>-332707.94380131928</v>
      </c>
      <c r="D44" s="1018">
        <f>'TDM Summary'!P43*(1-AVO!$E$13)*'Rates - Single'!$C$38</f>
        <v>-2076330.7077334074</v>
      </c>
      <c r="E44" s="1018">
        <f>'TDM Summary'!Q43*'Rates - Single'!$C$40</f>
        <v>-304107.92478333338</v>
      </c>
      <c r="F44" s="1018">
        <f t="shared" si="3"/>
        <v>-2713146.57631806</v>
      </c>
      <c r="G44" s="1019">
        <f>-SUM(C44:D44)*$C$6*'VOC '!$C$70</f>
        <v>3277162.5783510371</v>
      </c>
      <c r="H44" s="1019">
        <f>-E44*$C$7*'VOC '!$D$70</f>
        <v>1327265.7223513718</v>
      </c>
      <c r="I44" s="1019">
        <f t="shared" si="1"/>
        <v>4604428.3007024089</v>
      </c>
    </row>
    <row r="45" spans="2:11" x14ac:dyDescent="0.25">
      <c r="B45" s="1025">
        <v>2053</v>
      </c>
      <c r="C45" s="1018">
        <f>'TDM Summary'!P44*AVO!$E$13*'Rates - Single'!$C$39</f>
        <v>-332707.94380131928</v>
      </c>
      <c r="D45" s="1018">
        <f>'TDM Summary'!P44*(1-AVO!$E$13)*'Rates - Single'!$C$38</f>
        <v>-2076330.7077334074</v>
      </c>
      <c r="E45" s="1018">
        <f>'TDM Summary'!Q44*'Rates - Single'!$C$40</f>
        <v>-304107.92478333338</v>
      </c>
      <c r="F45" s="1018">
        <f t="shared" si="3"/>
        <v>-2713146.57631806</v>
      </c>
      <c r="G45" s="1019">
        <f>-SUM(C45:D45)*$C$6*'VOC '!$C$70</f>
        <v>3277162.5783510371</v>
      </c>
      <c r="H45" s="1019">
        <f>-E45*$C$7*'VOC '!$D$70</f>
        <v>1327265.7223513718</v>
      </c>
      <c r="I45" s="1019">
        <f t="shared" si="1"/>
        <v>4604428.3007024089</v>
      </c>
    </row>
    <row r="46" spans="2:11" x14ac:dyDescent="0.25">
      <c r="B46" s="1025">
        <v>2054</v>
      </c>
      <c r="C46" s="1018">
        <f>'TDM Summary'!P45*AVO!$E$13*'Rates - Single'!$C$39</f>
        <v>-332707.94380131928</v>
      </c>
      <c r="D46" s="1018">
        <f>'TDM Summary'!P45*(1-AVO!$E$13)*'Rates - Single'!$C$38</f>
        <v>-2076330.7077334074</v>
      </c>
      <c r="E46" s="1018">
        <f>'TDM Summary'!Q45*'Rates - Single'!$C$40</f>
        <v>-304107.92478333338</v>
      </c>
      <c r="F46" s="1018">
        <f t="shared" si="3"/>
        <v>-2713146.57631806</v>
      </c>
      <c r="G46" s="1019">
        <f>-SUM(C46:D46)*$C$6*'VOC '!$C$70</f>
        <v>3277162.5783510371</v>
      </c>
      <c r="H46" s="1019">
        <f>-E46*$C$7*'VOC '!$D$70</f>
        <v>1327265.7223513718</v>
      </c>
      <c r="I46" s="1019">
        <f t="shared" si="1"/>
        <v>4604428.3007024089</v>
      </c>
    </row>
    <row r="47" spans="2:11" x14ac:dyDescent="0.25">
      <c r="B47" s="1025">
        <v>2055</v>
      </c>
      <c r="C47" s="1018">
        <f>'TDM Summary'!P46*AVO!$E$13*'Rates - Single'!$C$39</f>
        <v>-332707.94380131928</v>
      </c>
      <c r="D47" s="1018">
        <f>'TDM Summary'!P46*(1-AVO!$E$13)*'Rates - Single'!$C$38</f>
        <v>-2076330.7077334074</v>
      </c>
      <c r="E47" s="1018">
        <f>'TDM Summary'!Q46*'Rates - Single'!$C$40</f>
        <v>-304107.92478333338</v>
      </c>
      <c r="F47" s="1018">
        <f t="shared" si="3"/>
        <v>-2713146.57631806</v>
      </c>
      <c r="G47" s="1019">
        <f>-SUM(C47:D47)*$C$6*'VOC '!$C$70</f>
        <v>3277162.5783510371</v>
      </c>
      <c r="H47" s="1019">
        <f>-E47*$C$7*'VOC '!$D$70</f>
        <v>1327265.7223513718</v>
      </c>
      <c r="I47" s="1019">
        <f t="shared" si="1"/>
        <v>4604428.3007024089</v>
      </c>
    </row>
    <row r="48" spans="2:11" x14ac:dyDescent="0.25">
      <c r="B48" s="1025">
        <v>2056</v>
      </c>
      <c r="C48" s="1018">
        <f>'TDM Summary'!P47*AVO!$E$13*'Rates - Single'!$C$39</f>
        <v>-332707.94380131928</v>
      </c>
      <c r="D48" s="1018">
        <f>'TDM Summary'!P47*(1-AVO!$E$13)*'Rates - Single'!$C$38</f>
        <v>-2076330.7077334074</v>
      </c>
      <c r="E48" s="1018">
        <f>'TDM Summary'!Q47*'Rates - Single'!$C$40</f>
        <v>-304107.92478333338</v>
      </c>
      <c r="F48" s="1018">
        <f t="shared" si="3"/>
        <v>-2713146.57631806</v>
      </c>
      <c r="G48" s="1019">
        <f>-SUM(C48:D48)*$C$6*'VOC '!$C$70</f>
        <v>3277162.5783510371</v>
      </c>
      <c r="H48" s="1019">
        <f>-E48*$C$7*'VOC '!$D$70</f>
        <v>1327265.7223513718</v>
      </c>
      <c r="I48" s="1019">
        <f t="shared" si="1"/>
        <v>4604428.3007024089</v>
      </c>
    </row>
    <row r="49" spans="2:9" x14ac:dyDescent="0.25">
      <c r="B49" s="1025">
        <v>2057</v>
      </c>
      <c r="C49" s="1018">
        <f>'TDM Summary'!P48*AVO!$E$13*'Rates - Single'!$C$39</f>
        <v>-332707.94380131928</v>
      </c>
      <c r="D49" s="1018">
        <f>'TDM Summary'!P48*(1-AVO!$E$13)*'Rates - Single'!$C$38</f>
        <v>-2076330.7077334074</v>
      </c>
      <c r="E49" s="1018">
        <f>'TDM Summary'!Q48*'Rates - Single'!$C$40</f>
        <v>-304107.92478333338</v>
      </c>
      <c r="F49" s="1018">
        <f t="shared" si="3"/>
        <v>-2713146.57631806</v>
      </c>
      <c r="G49" s="1019">
        <f>-SUM(C49:D49)*$C$6*'VOC '!$C$70</f>
        <v>3277162.5783510371</v>
      </c>
      <c r="H49" s="1019">
        <f>-E49*$C$7*'VOC '!$D$70</f>
        <v>1327265.7223513718</v>
      </c>
      <c r="I49" s="1019">
        <f t="shared" si="1"/>
        <v>4604428.3007024089</v>
      </c>
    </row>
    <row r="50" spans="2:9" x14ac:dyDescent="0.25">
      <c r="B50" s="1025">
        <v>2058</v>
      </c>
      <c r="C50" s="1018">
        <f>'TDM Summary'!P49*AVO!$E$13*'Rates - Single'!$C$39</f>
        <v>-332707.94380131928</v>
      </c>
      <c r="D50" s="1018">
        <f>'TDM Summary'!P49*(1-AVO!$E$13)*'Rates - Single'!$C$38</f>
        <v>-2076330.7077334074</v>
      </c>
      <c r="E50" s="1018">
        <f>'TDM Summary'!Q49*'Rates - Single'!$C$40</f>
        <v>-304107.92478333338</v>
      </c>
      <c r="F50" s="1018">
        <f t="shared" si="3"/>
        <v>-2713146.57631806</v>
      </c>
      <c r="G50" s="1019">
        <f>-SUM(C50:D50)*$C$6*'VOC '!$C$70</f>
        <v>3277162.5783510371</v>
      </c>
      <c r="H50" s="1019">
        <f>-E50*$C$7*'VOC '!$D$70</f>
        <v>1327265.7223513718</v>
      </c>
      <c r="I50" s="1019">
        <f t="shared" si="1"/>
        <v>4604428.3007024089</v>
      </c>
    </row>
    <row r="51" spans="2:9" x14ac:dyDescent="0.25">
      <c r="B51" s="1025">
        <v>2059</v>
      </c>
      <c r="C51" s="1018">
        <f>'TDM Summary'!P50*AVO!$E$13*'Rates - Single'!$C$39</f>
        <v>-332707.94380131928</v>
      </c>
      <c r="D51" s="1018">
        <f>'TDM Summary'!P50*(1-AVO!$E$13)*'Rates - Single'!$C$38</f>
        <v>-2076330.7077334074</v>
      </c>
      <c r="E51" s="1018">
        <f>'TDM Summary'!Q50*'Rates - Single'!$C$40</f>
        <v>-304107.92478333338</v>
      </c>
      <c r="F51" s="1018">
        <f t="shared" si="3"/>
        <v>-2713146.57631806</v>
      </c>
      <c r="G51" s="1019">
        <f>-SUM(C51:D51)*$C$6*'VOC '!$C$70</f>
        <v>3277162.5783510371</v>
      </c>
      <c r="H51" s="1019">
        <f>-E51*$C$7*'VOC '!$D$70</f>
        <v>1327265.7223513718</v>
      </c>
      <c r="I51" s="1019">
        <f t="shared" si="1"/>
        <v>4604428.3007024089</v>
      </c>
    </row>
    <row r="52" spans="2:9" x14ac:dyDescent="0.25">
      <c r="B52" s="1025">
        <v>2060</v>
      </c>
      <c r="C52" s="1018">
        <f>'TDM Summary'!P51*AVO!$E$13*'Rates - Single'!$C$39</f>
        <v>-332707.94380131928</v>
      </c>
      <c r="D52" s="1018">
        <f>'TDM Summary'!P51*(1-AVO!$E$13)*'Rates - Single'!$C$38</f>
        <v>-2076330.7077334074</v>
      </c>
      <c r="E52" s="1018">
        <f>'TDM Summary'!Q51*'Rates - Single'!$C$40</f>
        <v>-304107.92478333338</v>
      </c>
      <c r="F52" s="1018">
        <f t="shared" si="3"/>
        <v>-2713146.57631806</v>
      </c>
      <c r="G52" s="1019">
        <f>-SUM(C52:D52)*$C$6*'VOC '!$C$70</f>
        <v>3277162.5783510371</v>
      </c>
      <c r="H52" s="1019">
        <f>-E52*$C$7*'VOC '!$D$70</f>
        <v>1327265.7223513718</v>
      </c>
      <c r="I52" s="1019">
        <f t="shared" si="1"/>
        <v>4604428.3007024089</v>
      </c>
    </row>
    <row r="53" spans="2:9" ht="13.5" thickBot="1" x14ac:dyDescent="0.3">
      <c r="B53" s="1006">
        <v>2061</v>
      </c>
      <c r="C53" s="1022">
        <f>'TDM Summary'!P52*AVO!$E$13*'Rates - Single'!$C$39</f>
        <v>-332707.94380131928</v>
      </c>
      <c r="D53" s="1022">
        <f>'TDM Summary'!P52*(1-AVO!$E$13)*'Rates - Single'!$C$38</f>
        <v>-2076330.7077334074</v>
      </c>
      <c r="E53" s="1022">
        <f>'TDM Summary'!Q52*'Rates - Single'!$C$40</f>
        <v>-304107.92478333338</v>
      </c>
      <c r="F53" s="1022">
        <f t="shared" si="3"/>
        <v>-2713146.57631806</v>
      </c>
      <c r="G53" s="1023">
        <f>-SUM(C53:D53)*$C$6*'VOC '!$C$70</f>
        <v>3277162.5783510371</v>
      </c>
      <c r="H53" s="1023">
        <f>-E53*$C$7*'VOC '!$D$70</f>
        <v>1327265.7223513718</v>
      </c>
      <c r="I53" s="1023">
        <f t="shared" si="1"/>
        <v>4604428.3007024089</v>
      </c>
    </row>
    <row r="54" spans="2:9" ht="13.5" thickTop="1" x14ac:dyDescent="0.25">
      <c r="B54" s="392" t="s">
        <v>508</v>
      </c>
      <c r="C54" s="392"/>
      <c r="D54" s="392"/>
      <c r="E54" s="392"/>
      <c r="F54" s="392"/>
      <c r="G54" s="392"/>
      <c r="H54" s="392"/>
    </row>
  </sheetData>
  <mergeCells count="8">
    <mergeCell ref="I10:I11"/>
    <mergeCell ref="E5:G5"/>
    <mergeCell ref="B9:H9"/>
    <mergeCell ref="B10:B11"/>
    <mergeCell ref="C10:E10"/>
    <mergeCell ref="F10:F11"/>
    <mergeCell ref="G10:G11"/>
    <mergeCell ref="H10:H1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U186"/>
  <sheetViews>
    <sheetView zoomScale="85" zoomScaleNormal="85" workbookViewId="0">
      <selection activeCell="B16" sqref="B16"/>
    </sheetView>
  </sheetViews>
  <sheetFormatPr defaultRowHeight="12.75" x14ac:dyDescent="0.25"/>
  <cols>
    <col min="1" max="1" width="3.5703125" style="1339" customWidth="1"/>
    <col min="2" max="2" width="29.5703125" style="1339" customWidth="1"/>
    <col min="3" max="3" width="11.85546875" style="1339" customWidth="1"/>
    <col min="4" max="4" width="13.85546875" style="1347" bestFit="1" customWidth="1"/>
    <col min="5" max="5" width="13.42578125" style="1347" bestFit="1" customWidth="1"/>
    <col min="6" max="7" width="11.85546875" style="1347" customWidth="1"/>
    <col min="8" max="8" width="17.42578125" style="1347" customWidth="1"/>
    <col min="9" max="9" width="16.7109375" style="1347" customWidth="1"/>
    <col min="10" max="18" width="11.85546875" style="1347" customWidth="1"/>
    <col min="19" max="19" width="15.42578125" style="1339" customWidth="1"/>
    <col min="20" max="26" width="12.7109375" style="1339" customWidth="1"/>
    <col min="27" max="27" width="7.7109375" style="1339" customWidth="1"/>
    <col min="28" max="48" width="15.7109375" style="1339" customWidth="1"/>
    <col min="49" max="49" width="4.140625" style="1339" customWidth="1"/>
    <col min="50" max="70" width="15.7109375" style="1339" customWidth="1"/>
    <col min="71" max="16384" width="9.140625" style="1339"/>
  </cols>
  <sheetData>
    <row r="2" spans="2:21" ht="18.75" x14ac:dyDescent="0.25">
      <c r="B2" s="1346" t="str">
        <f>'About the Spreadsheet Tabs'!$B$3</f>
        <v>Benefit-Cost Assessment Spreadsheet for Access I-95: Driving Baltimore's City Development</v>
      </c>
    </row>
    <row r="3" spans="2:21" ht="18.75" x14ac:dyDescent="0.25">
      <c r="B3" s="1346" t="s">
        <v>797</v>
      </c>
    </row>
    <row r="4" spans="2:21" ht="15" customHeight="1" x14ac:dyDescent="0.25">
      <c r="B4" s="1348"/>
      <c r="C4" s="1348"/>
      <c r="D4" s="1348"/>
      <c r="E4" s="1348"/>
      <c r="F4" s="1348"/>
      <c r="G4" s="1348"/>
      <c r="H4" s="1348"/>
      <c r="I4" s="1348"/>
      <c r="L4" s="1349"/>
      <c r="M4" s="1349"/>
      <c r="N4" s="1349"/>
      <c r="O4" s="1349"/>
      <c r="P4" s="1349"/>
      <c r="Q4" s="1349"/>
      <c r="R4" s="1349"/>
      <c r="S4" s="1345"/>
      <c r="T4" s="1345"/>
      <c r="U4" s="1345"/>
    </row>
    <row r="5" spans="2:21" ht="15" customHeight="1" x14ac:dyDescent="0.25">
      <c r="B5" s="1350" t="s">
        <v>7</v>
      </c>
      <c r="C5" s="1350" t="s">
        <v>316</v>
      </c>
      <c r="D5" s="1351" t="s">
        <v>510</v>
      </c>
      <c r="E5" s="1351"/>
      <c r="F5" s="1351"/>
      <c r="G5" s="1351"/>
      <c r="H5" s="1352" t="s">
        <v>509</v>
      </c>
      <c r="J5" s="1349"/>
      <c r="K5" s="1349"/>
      <c r="L5" s="1349"/>
      <c r="M5" s="1349"/>
      <c r="N5" s="1349"/>
      <c r="O5" s="1349"/>
      <c r="P5" s="1345"/>
      <c r="Q5" s="1345"/>
      <c r="R5" s="1345"/>
    </row>
    <row r="6" spans="2:21" ht="15" customHeight="1" x14ac:dyDescent="0.25">
      <c r="B6" s="1353"/>
      <c r="C6" s="1353"/>
      <c r="D6" s="1354" t="s">
        <v>501</v>
      </c>
      <c r="E6" s="1354" t="s">
        <v>78</v>
      </c>
      <c r="F6" s="1354" t="s">
        <v>502</v>
      </c>
      <c r="G6" s="1355" t="s">
        <v>76</v>
      </c>
      <c r="H6" s="1356"/>
      <c r="I6" s="1349"/>
      <c r="J6" s="1349"/>
      <c r="K6" s="1349"/>
      <c r="L6" s="1349"/>
      <c r="M6" s="1349"/>
      <c r="N6" s="1349"/>
      <c r="O6" s="1345"/>
      <c r="P6" s="1345"/>
      <c r="Q6" s="1345"/>
      <c r="R6" s="1339"/>
    </row>
    <row r="7" spans="2:21" ht="15" customHeight="1" x14ac:dyDescent="0.25">
      <c r="B7" s="1357">
        <v>0</v>
      </c>
      <c r="C7" s="1358">
        <v>2020</v>
      </c>
      <c r="D7" s="1359">
        <f>SUM(D53:F53)</f>
        <v>0</v>
      </c>
      <c r="E7" s="1359">
        <f>SUM(G53:I53)</f>
        <v>0</v>
      </c>
      <c r="F7" s="1359">
        <f>SUM(J53:L53)</f>
        <v>0</v>
      </c>
      <c r="G7" s="1359">
        <f>SUM(M53:O53)</f>
        <v>0</v>
      </c>
      <c r="H7" s="1360">
        <f t="shared" ref="H7:H48" si="0">SUM(D7:G7)</f>
        <v>0</v>
      </c>
      <c r="I7" s="1349"/>
      <c r="J7" s="1349"/>
      <c r="K7" s="1349"/>
      <c r="L7" s="1349"/>
      <c r="M7" s="1349"/>
      <c r="N7" s="1349"/>
      <c r="O7" s="1345"/>
      <c r="P7" s="1345"/>
      <c r="Q7" s="1345"/>
      <c r="R7" s="1339"/>
    </row>
    <row r="8" spans="2:21" ht="15" customHeight="1" x14ac:dyDescent="0.25">
      <c r="B8" s="1357">
        <v>1</v>
      </c>
      <c r="C8" s="1358">
        <v>2021</v>
      </c>
      <c r="D8" s="1359">
        <f t="shared" ref="D8:D27" si="1">SUM(D54:F54)</f>
        <v>0</v>
      </c>
      <c r="E8" s="1359">
        <f t="shared" ref="E8:E27" si="2">SUM(G54:I54)</f>
        <v>0</v>
      </c>
      <c r="F8" s="1359">
        <f t="shared" ref="F8:F27" si="3">SUM(J54:L54)</f>
        <v>0</v>
      </c>
      <c r="G8" s="1359">
        <f t="shared" ref="G8:G27" si="4">SUM(M54:O54)</f>
        <v>0</v>
      </c>
      <c r="H8" s="1360">
        <f t="shared" si="0"/>
        <v>0</v>
      </c>
      <c r="I8" s="1349"/>
      <c r="J8" s="1349"/>
      <c r="K8" s="1349"/>
      <c r="L8" s="1349"/>
      <c r="M8" s="1349"/>
      <c r="N8" s="1349"/>
      <c r="O8" s="1345"/>
      <c r="P8" s="1345"/>
      <c r="Q8" s="1345"/>
      <c r="R8" s="1339"/>
    </row>
    <row r="9" spans="2:21" ht="15" customHeight="1" x14ac:dyDescent="0.25">
      <c r="B9" s="1357">
        <v>2</v>
      </c>
      <c r="C9" s="1358">
        <v>2022</v>
      </c>
      <c r="D9" s="1359">
        <f t="shared" si="1"/>
        <v>71763.0335047587</v>
      </c>
      <c r="E9" s="1359">
        <f t="shared" si="2"/>
        <v>7783.0958962671639</v>
      </c>
      <c r="F9" s="1359">
        <f t="shared" si="3"/>
        <v>76566.445648984343</v>
      </c>
      <c r="G9" s="1359">
        <f t="shared" si="4"/>
        <v>62632.235076805198</v>
      </c>
      <c r="H9" s="1360">
        <f t="shared" si="0"/>
        <v>218744.8101268154</v>
      </c>
      <c r="I9" s="1349"/>
      <c r="J9" s="1349"/>
      <c r="K9" s="1349"/>
      <c r="L9" s="1349"/>
      <c r="M9" s="1349"/>
      <c r="N9" s="1349"/>
      <c r="O9" s="1345"/>
      <c r="P9" s="1345"/>
      <c r="Q9" s="1345"/>
      <c r="R9" s="1339"/>
    </row>
    <row r="10" spans="2:21" ht="15" customHeight="1" x14ac:dyDescent="0.25">
      <c r="B10" s="1357">
        <v>3</v>
      </c>
      <c r="C10" s="1358">
        <v>2023</v>
      </c>
      <c r="D10" s="1359">
        <f t="shared" si="1"/>
        <v>77139.463914623004</v>
      </c>
      <c r="E10" s="1359">
        <f t="shared" si="2"/>
        <v>8199.2414146090287</v>
      </c>
      <c r="F10" s="1359">
        <f t="shared" si="3"/>
        <v>80649.362011295772</v>
      </c>
      <c r="G10" s="1359">
        <f t="shared" si="4"/>
        <v>65962.237398082056</v>
      </c>
      <c r="H10" s="1360">
        <f t="shared" si="0"/>
        <v>231950.30473860988</v>
      </c>
      <c r="I10" s="1349"/>
      <c r="J10" s="1349"/>
      <c r="K10" s="1349"/>
      <c r="L10" s="1349"/>
      <c r="M10" s="1349"/>
      <c r="N10" s="1349"/>
      <c r="O10" s="1345"/>
      <c r="P10" s="1345"/>
      <c r="Q10" s="1345"/>
      <c r="R10" s="1339"/>
    </row>
    <row r="11" spans="2:21" ht="15" customHeight="1" x14ac:dyDescent="0.25">
      <c r="B11" s="1357">
        <v>4</v>
      </c>
      <c r="C11" s="1358">
        <v>2024</v>
      </c>
      <c r="D11" s="1359">
        <f t="shared" si="1"/>
        <v>82672.369472714723</v>
      </c>
      <c r="E11" s="1359">
        <f t="shared" si="2"/>
        <v>8615.3869329508925</v>
      </c>
      <c r="F11" s="1359">
        <f t="shared" si="3"/>
        <v>84732.278373607172</v>
      </c>
      <c r="G11" s="1359">
        <f t="shared" si="4"/>
        <v>69292.239719358913</v>
      </c>
      <c r="H11" s="1360">
        <f t="shared" si="0"/>
        <v>245312.27449863171</v>
      </c>
      <c r="I11" s="1349"/>
      <c r="J11" s="1349"/>
      <c r="K11" s="1349"/>
      <c r="L11" s="1349"/>
      <c r="M11" s="1349"/>
      <c r="N11" s="1349"/>
      <c r="O11" s="1345"/>
      <c r="P11" s="1345"/>
      <c r="Q11" s="1345"/>
      <c r="R11" s="1339"/>
    </row>
    <row r="12" spans="2:21" ht="15" customHeight="1" x14ac:dyDescent="0.25">
      <c r="B12" s="1357">
        <v>5</v>
      </c>
      <c r="C12" s="1358">
        <v>2025</v>
      </c>
      <c r="D12" s="1359">
        <f t="shared" si="1"/>
        <v>88361.750179033857</v>
      </c>
      <c r="E12" s="1359">
        <f t="shared" si="2"/>
        <v>9031.5324512927546</v>
      </c>
      <c r="F12" s="1359">
        <f t="shared" si="3"/>
        <v>88815.194735918602</v>
      </c>
      <c r="G12" s="1359">
        <f t="shared" si="4"/>
        <v>72622.2420406358</v>
      </c>
      <c r="H12" s="1360">
        <f t="shared" si="0"/>
        <v>258830.71940688102</v>
      </c>
      <c r="K12" s="1349" t="s">
        <v>475</v>
      </c>
      <c r="L12" s="1349"/>
      <c r="M12" s="1349"/>
      <c r="N12" s="1349"/>
      <c r="O12" s="1349"/>
      <c r="P12" s="1349"/>
      <c r="Q12" s="1349"/>
      <c r="R12" s="1345"/>
      <c r="S12" s="1345"/>
      <c r="T12" s="1345"/>
    </row>
    <row r="13" spans="2:21" ht="15" customHeight="1" x14ac:dyDescent="0.25">
      <c r="B13" s="1357">
        <v>6</v>
      </c>
      <c r="C13" s="1358">
        <v>2026</v>
      </c>
      <c r="D13" s="1359">
        <f t="shared" si="1"/>
        <v>94207.606033580407</v>
      </c>
      <c r="E13" s="1359">
        <f t="shared" si="2"/>
        <v>9447.6779696346184</v>
      </c>
      <c r="F13" s="1359">
        <f t="shared" si="3"/>
        <v>92898.111098230016</v>
      </c>
      <c r="G13" s="1359">
        <f t="shared" si="4"/>
        <v>75952.244361912657</v>
      </c>
      <c r="H13" s="1360">
        <f t="shared" si="0"/>
        <v>272505.63946335769</v>
      </c>
      <c r="K13" s="1349"/>
      <c r="L13" s="1349"/>
      <c r="M13" s="1349"/>
      <c r="N13" s="1349"/>
      <c r="O13" s="1349"/>
      <c r="P13" s="1349"/>
      <c r="Q13" s="1349"/>
      <c r="R13" s="1345"/>
      <c r="S13" s="1345"/>
      <c r="T13" s="1345"/>
    </row>
    <row r="14" spans="2:21" ht="15" customHeight="1" x14ac:dyDescent="0.25">
      <c r="B14" s="1357">
        <v>7</v>
      </c>
      <c r="C14" s="1358">
        <v>2027</v>
      </c>
      <c r="D14" s="1359">
        <f t="shared" si="1"/>
        <v>100209.9370363544</v>
      </c>
      <c r="E14" s="1359">
        <f t="shared" si="2"/>
        <v>9863.8234879764841</v>
      </c>
      <c r="F14" s="1359">
        <f t="shared" si="3"/>
        <v>96981.027460541431</v>
      </c>
      <c r="G14" s="1359">
        <f t="shared" si="4"/>
        <v>79282.246683189485</v>
      </c>
      <c r="H14" s="1360">
        <f t="shared" si="0"/>
        <v>286337.03466806177</v>
      </c>
      <c r="K14" s="1349"/>
      <c r="L14" s="1349"/>
      <c r="M14" s="1349"/>
      <c r="N14" s="1349"/>
      <c r="O14" s="1349"/>
      <c r="P14" s="1349"/>
      <c r="Q14" s="1349"/>
      <c r="R14" s="1345"/>
      <c r="S14" s="1345"/>
      <c r="T14" s="1345"/>
    </row>
    <row r="15" spans="2:21" ht="15" customHeight="1" x14ac:dyDescent="0.25">
      <c r="B15" s="1357">
        <v>8</v>
      </c>
      <c r="C15" s="1358">
        <v>2028</v>
      </c>
      <c r="D15" s="1359">
        <f t="shared" si="1"/>
        <v>106368.74318735582</v>
      </c>
      <c r="E15" s="1359">
        <f t="shared" si="2"/>
        <v>10279.969006318348</v>
      </c>
      <c r="F15" s="1359">
        <f t="shared" si="3"/>
        <v>101063.94382285286</v>
      </c>
      <c r="G15" s="1359">
        <f t="shared" si="4"/>
        <v>82612.249004466386</v>
      </c>
      <c r="H15" s="1360">
        <f t="shared" si="0"/>
        <v>300324.90502099344</v>
      </c>
      <c r="K15" s="1349"/>
      <c r="L15" s="1349"/>
      <c r="M15" s="1349"/>
      <c r="N15" s="1349"/>
      <c r="O15" s="1349"/>
      <c r="P15" s="1349"/>
      <c r="Q15" s="1349"/>
      <c r="R15" s="1345"/>
      <c r="S15" s="1345"/>
      <c r="T15" s="1345"/>
    </row>
    <row r="16" spans="2:21" ht="15" customHeight="1" x14ac:dyDescent="0.25">
      <c r="B16" s="1357">
        <v>9</v>
      </c>
      <c r="C16" s="1358">
        <v>2029</v>
      </c>
      <c r="D16" s="1359">
        <f t="shared" si="1"/>
        <v>110671.80976360993</v>
      </c>
      <c r="E16" s="1359">
        <f t="shared" si="2"/>
        <v>10696.114524660214</v>
      </c>
      <c r="F16" s="1359">
        <f t="shared" si="3"/>
        <v>105146.86018516429</v>
      </c>
      <c r="G16" s="1359">
        <f t="shared" si="4"/>
        <v>85942.251325743229</v>
      </c>
      <c r="H16" s="1360">
        <f t="shared" si="0"/>
        <v>312457.03579917765</v>
      </c>
      <c r="K16" s="1349"/>
      <c r="L16" s="1349"/>
      <c r="M16" s="1349"/>
      <c r="N16" s="1349"/>
      <c r="O16" s="1349"/>
      <c r="P16" s="1349"/>
      <c r="Q16" s="1349"/>
      <c r="R16" s="1345"/>
      <c r="S16" s="1345"/>
      <c r="T16" s="1345"/>
    </row>
    <row r="17" spans="2:20" ht="15" customHeight="1" x14ac:dyDescent="0.25">
      <c r="B17" s="1357">
        <v>10</v>
      </c>
      <c r="C17" s="1358">
        <v>2030</v>
      </c>
      <c r="D17" s="1359">
        <f t="shared" si="1"/>
        <v>119155.7809340409</v>
      </c>
      <c r="E17" s="1359">
        <f t="shared" si="2"/>
        <v>11112.260043002076</v>
      </c>
      <c r="F17" s="1359">
        <f t="shared" si="3"/>
        <v>109229.77654747572</v>
      </c>
      <c r="G17" s="1359">
        <f t="shared" si="4"/>
        <v>89272.253647020116</v>
      </c>
      <c r="H17" s="1360">
        <f t="shared" si="0"/>
        <v>328770.07117153879</v>
      </c>
      <c r="K17" s="1349" t="s">
        <v>475</v>
      </c>
      <c r="L17" s="1349"/>
      <c r="M17" s="1349"/>
      <c r="N17" s="1349"/>
      <c r="O17" s="1349"/>
      <c r="P17" s="1349"/>
      <c r="Q17" s="1349"/>
      <c r="R17" s="1345"/>
      <c r="S17" s="1345"/>
      <c r="T17" s="1345"/>
    </row>
    <row r="18" spans="2:20" ht="15" customHeight="1" x14ac:dyDescent="0.25">
      <c r="B18" s="1357">
        <v>11</v>
      </c>
      <c r="C18" s="1358">
        <v>2031</v>
      </c>
      <c r="D18" s="1359">
        <f t="shared" si="1"/>
        <v>125784.01252972457</v>
      </c>
      <c r="E18" s="1359">
        <f t="shared" si="2"/>
        <v>11528.405561343938</v>
      </c>
      <c r="F18" s="1359">
        <f t="shared" si="3"/>
        <v>113312.69290978712</v>
      </c>
      <c r="G18" s="1359">
        <f t="shared" si="4"/>
        <v>92602.255968296959</v>
      </c>
      <c r="H18" s="1360">
        <f t="shared" si="0"/>
        <v>343227.36696915259</v>
      </c>
      <c r="K18" s="1349"/>
      <c r="L18" s="1349"/>
      <c r="M18" s="1349"/>
      <c r="N18" s="1349"/>
      <c r="O18" s="1349"/>
      <c r="P18" s="1349"/>
      <c r="Q18" s="1349"/>
      <c r="R18" s="1345"/>
      <c r="S18" s="1345"/>
      <c r="T18" s="1345"/>
    </row>
    <row r="19" spans="2:20" ht="15" customHeight="1" x14ac:dyDescent="0.25">
      <c r="B19" s="1357">
        <v>12</v>
      </c>
      <c r="C19" s="1358">
        <v>2032</v>
      </c>
      <c r="D19" s="1359">
        <f t="shared" si="1"/>
        <v>132568.71927363565</v>
      </c>
      <c r="E19" s="1359">
        <f t="shared" si="2"/>
        <v>11944.5510796858</v>
      </c>
      <c r="F19" s="1359">
        <f t="shared" si="3"/>
        <v>117395.60927209852</v>
      </c>
      <c r="G19" s="1359">
        <f t="shared" si="4"/>
        <v>95932.258289573831</v>
      </c>
      <c r="H19" s="1360">
        <f t="shared" si="0"/>
        <v>357841.1379149938</v>
      </c>
      <c r="K19" s="1349"/>
      <c r="L19" s="1349"/>
      <c r="M19" s="1349"/>
      <c r="N19" s="1349"/>
      <c r="O19" s="1349"/>
      <c r="P19" s="1349"/>
      <c r="Q19" s="1349"/>
      <c r="R19" s="1345"/>
      <c r="S19" s="1345"/>
      <c r="T19" s="1345"/>
    </row>
    <row r="20" spans="2:20" ht="15" customHeight="1" x14ac:dyDescent="0.25">
      <c r="B20" s="1357">
        <v>13</v>
      </c>
      <c r="C20" s="1358">
        <v>2033</v>
      </c>
      <c r="D20" s="1359">
        <f t="shared" si="1"/>
        <v>139509.90116577421</v>
      </c>
      <c r="E20" s="1359">
        <f t="shared" si="2"/>
        <v>12360.696598027667</v>
      </c>
      <c r="F20" s="1359">
        <f t="shared" si="3"/>
        <v>121478.52563440995</v>
      </c>
      <c r="G20" s="1359">
        <f t="shared" si="4"/>
        <v>99262.260610850717</v>
      </c>
      <c r="H20" s="1360">
        <f t="shared" si="0"/>
        <v>372611.38400906249</v>
      </c>
      <c r="K20" s="1349"/>
      <c r="L20" s="1349"/>
      <c r="M20" s="1349"/>
      <c r="N20" s="1349"/>
      <c r="O20" s="1349"/>
      <c r="P20" s="1349"/>
      <c r="Q20" s="1349"/>
      <c r="R20" s="1345"/>
      <c r="S20" s="1345"/>
      <c r="T20" s="1345"/>
    </row>
    <row r="21" spans="2:20" ht="15" customHeight="1" x14ac:dyDescent="0.25">
      <c r="B21" s="1357">
        <v>14</v>
      </c>
      <c r="C21" s="1358">
        <v>2034</v>
      </c>
      <c r="D21" s="1359">
        <f t="shared" si="1"/>
        <v>146607.55820614015</v>
      </c>
      <c r="E21" s="1359">
        <f t="shared" si="2"/>
        <v>12776.842116369529</v>
      </c>
      <c r="F21" s="1359">
        <f t="shared" si="3"/>
        <v>125561.44199672138</v>
      </c>
      <c r="G21" s="1359">
        <f t="shared" si="4"/>
        <v>102592.26293212756</v>
      </c>
      <c r="H21" s="1360">
        <f t="shared" si="0"/>
        <v>387538.10525135859</v>
      </c>
      <c r="K21" s="1349"/>
      <c r="L21" s="1349"/>
      <c r="M21" s="1349"/>
      <c r="N21" s="1349"/>
      <c r="O21" s="1349"/>
      <c r="P21" s="1349"/>
      <c r="Q21" s="1349"/>
      <c r="R21" s="1345"/>
      <c r="S21" s="1345"/>
      <c r="T21" s="1345"/>
    </row>
    <row r="22" spans="2:20" ht="15" customHeight="1" x14ac:dyDescent="0.25">
      <c r="B22" s="1357">
        <v>15</v>
      </c>
      <c r="C22" s="1358">
        <v>2035</v>
      </c>
      <c r="D22" s="1359">
        <f t="shared" si="1"/>
        <v>153861.69039473348</v>
      </c>
      <c r="E22" s="1359">
        <f t="shared" si="2"/>
        <v>13192.987634711393</v>
      </c>
      <c r="F22" s="1359">
        <f t="shared" si="3"/>
        <v>129644.35835903278</v>
      </c>
      <c r="G22" s="1359">
        <f t="shared" si="4"/>
        <v>105922.26525340442</v>
      </c>
      <c r="H22" s="1360">
        <f t="shared" si="0"/>
        <v>402621.30164188205</v>
      </c>
      <c r="J22" s="1347" t="s">
        <v>475</v>
      </c>
      <c r="K22" s="1349"/>
      <c r="L22" s="1349"/>
      <c r="M22" s="1349"/>
      <c r="N22" s="1349"/>
      <c r="O22" s="1349"/>
      <c r="P22" s="1349"/>
      <c r="Q22" s="1349"/>
      <c r="R22" s="1345"/>
      <c r="S22" s="1345"/>
      <c r="T22" s="1345"/>
    </row>
    <row r="23" spans="2:20" ht="15" customHeight="1" x14ac:dyDescent="0.25">
      <c r="B23" s="1357">
        <v>16</v>
      </c>
      <c r="C23" s="1358">
        <v>2036</v>
      </c>
      <c r="D23" s="1359">
        <f t="shared" si="1"/>
        <v>161272.29773155425</v>
      </c>
      <c r="E23" s="1359">
        <f t="shared" si="2"/>
        <v>13609.133153053255</v>
      </c>
      <c r="F23" s="1359">
        <f t="shared" si="3"/>
        <v>133727.27472134421</v>
      </c>
      <c r="G23" s="1359">
        <f t="shared" si="4"/>
        <v>109252.26757468127</v>
      </c>
      <c r="H23" s="1360">
        <f t="shared" si="0"/>
        <v>417860.97318063298</v>
      </c>
      <c r="J23" s="1347" t="s">
        <v>475</v>
      </c>
      <c r="K23" s="1349"/>
      <c r="L23" s="1349"/>
      <c r="M23" s="1349"/>
      <c r="N23" s="1349"/>
      <c r="O23" s="1349"/>
      <c r="P23" s="1349"/>
      <c r="Q23" s="1349"/>
      <c r="R23" s="1345"/>
      <c r="S23" s="1345"/>
      <c r="T23" s="1345"/>
    </row>
    <row r="24" spans="2:20" ht="15" customHeight="1" x14ac:dyDescent="0.25">
      <c r="B24" s="1357">
        <v>17</v>
      </c>
      <c r="C24" s="1358">
        <v>2037</v>
      </c>
      <c r="D24" s="1359">
        <f t="shared" si="1"/>
        <v>168839.3802166025</v>
      </c>
      <c r="E24" s="1359">
        <f t="shared" si="2"/>
        <v>14025.278671395121</v>
      </c>
      <c r="F24" s="1359">
        <f t="shared" si="3"/>
        <v>137810.19108365563</v>
      </c>
      <c r="G24" s="1359">
        <f t="shared" si="4"/>
        <v>112582.26989595813</v>
      </c>
      <c r="H24" s="1360">
        <f t="shared" si="0"/>
        <v>433257.11986761139</v>
      </c>
      <c r="K24" s="1349"/>
      <c r="L24" s="1349"/>
      <c r="M24" s="1349"/>
      <c r="N24" s="1349"/>
      <c r="O24" s="1349"/>
      <c r="P24" s="1349"/>
      <c r="Q24" s="1349"/>
      <c r="R24" s="1345"/>
      <c r="S24" s="1345"/>
      <c r="T24" s="1345"/>
    </row>
    <row r="25" spans="2:20" ht="15" customHeight="1" x14ac:dyDescent="0.25">
      <c r="B25" s="1357">
        <v>18</v>
      </c>
      <c r="C25" s="1358">
        <v>2038</v>
      </c>
      <c r="D25" s="1359">
        <f t="shared" si="1"/>
        <v>176562.93784987816</v>
      </c>
      <c r="E25" s="1359">
        <f t="shared" si="2"/>
        <v>14441.424189736987</v>
      </c>
      <c r="F25" s="1359">
        <f t="shared" si="3"/>
        <v>141893.10744596706</v>
      </c>
      <c r="G25" s="1359">
        <f t="shared" si="4"/>
        <v>115912.27221723502</v>
      </c>
      <c r="H25" s="1360">
        <f t="shared" si="0"/>
        <v>448809.74170281721</v>
      </c>
      <c r="J25" s="1347" t="s">
        <v>475</v>
      </c>
      <c r="K25" s="1349" t="s">
        <v>475</v>
      </c>
      <c r="L25" s="1349"/>
      <c r="M25" s="1349"/>
      <c r="N25" s="1349"/>
      <c r="O25" s="1349"/>
      <c r="P25" s="1349"/>
      <c r="Q25" s="1349"/>
      <c r="R25" s="1345"/>
      <c r="S25" s="1345"/>
      <c r="T25" s="1345"/>
    </row>
    <row r="26" spans="2:20" ht="15" customHeight="1" x14ac:dyDescent="0.25">
      <c r="B26" s="1357">
        <v>19</v>
      </c>
      <c r="C26" s="1358">
        <v>2039</v>
      </c>
      <c r="D26" s="1359">
        <f t="shared" si="1"/>
        <v>187237.56109549303</v>
      </c>
      <c r="E26" s="1359">
        <f t="shared" si="2"/>
        <v>14857.56970807885</v>
      </c>
      <c r="F26" s="1359">
        <f t="shared" si="3"/>
        <v>145976.02380827846</v>
      </c>
      <c r="G26" s="1359">
        <f t="shared" si="4"/>
        <v>119242.27453851186</v>
      </c>
      <c r="H26" s="1360">
        <f t="shared" si="0"/>
        <v>467313.42915036221</v>
      </c>
      <c r="K26" s="1349"/>
      <c r="L26" s="1349"/>
      <c r="M26" s="1349"/>
      <c r="N26" s="1349"/>
      <c r="O26" s="1349"/>
      <c r="P26" s="1349"/>
      <c r="Q26" s="1349"/>
      <c r="R26" s="1345"/>
      <c r="S26" s="1345"/>
      <c r="T26" s="1345"/>
    </row>
    <row r="27" spans="2:20" ht="15" customHeight="1" x14ac:dyDescent="0.25">
      <c r="B27" s="1357">
        <v>20</v>
      </c>
      <c r="C27" s="1358">
        <v>2040</v>
      </c>
      <c r="D27" s="1359">
        <f t="shared" si="1"/>
        <v>195352.30659933711</v>
      </c>
      <c r="E27" s="1359">
        <f t="shared" si="2"/>
        <v>15273.715226420705</v>
      </c>
      <c r="F27" s="1359">
        <f t="shared" si="3"/>
        <v>150058.94017058983</v>
      </c>
      <c r="G27" s="1359">
        <f t="shared" si="4"/>
        <v>122572.27685978869</v>
      </c>
      <c r="H27" s="1361">
        <f t="shared" si="0"/>
        <v>483257.23885613633</v>
      </c>
      <c r="K27" s="1349"/>
      <c r="L27" s="1349"/>
      <c r="M27" s="1349"/>
      <c r="N27" s="1349"/>
      <c r="O27" s="1349"/>
      <c r="P27" s="1349"/>
      <c r="Q27" s="1349"/>
      <c r="R27" s="1345"/>
      <c r="S27" s="1345"/>
      <c r="T27" s="1345"/>
    </row>
    <row r="28" spans="2:20" ht="15" customHeight="1" x14ac:dyDescent="0.25">
      <c r="B28" s="1357">
        <v>21</v>
      </c>
      <c r="C28" s="1358">
        <v>2041</v>
      </c>
      <c r="D28" s="1359">
        <f t="shared" ref="D28:D48" si="5">SUM(D74:F74)</f>
        <v>198225.13463756267</v>
      </c>
      <c r="E28" s="1359">
        <f t="shared" ref="E28:E48" si="6">SUM(G74:I74)</f>
        <v>15273.715226420705</v>
      </c>
      <c r="F28" s="1359">
        <f t="shared" ref="F28:F48" si="7">SUM(J74:L74)</f>
        <v>150058.94017058983</v>
      </c>
      <c r="G28" s="1359">
        <f t="shared" ref="G28:G48" si="8">SUM(M74:O74)</f>
        <v>122572.27685978869</v>
      </c>
      <c r="H28" s="1360">
        <f t="shared" si="0"/>
        <v>486130.06689436187</v>
      </c>
      <c r="K28" s="1349"/>
      <c r="L28" s="1349"/>
      <c r="M28" s="1349"/>
      <c r="N28" s="1349"/>
      <c r="O28" s="1349"/>
      <c r="P28" s="1349"/>
      <c r="Q28" s="1349"/>
      <c r="R28" s="1345"/>
      <c r="S28" s="1345"/>
      <c r="T28" s="1345"/>
    </row>
    <row r="29" spans="2:20" ht="15" customHeight="1" x14ac:dyDescent="0.25">
      <c r="B29" s="1357">
        <v>22</v>
      </c>
      <c r="C29" s="1358">
        <v>2042</v>
      </c>
      <c r="D29" s="1359">
        <f t="shared" si="5"/>
        <v>198225.13463756267</v>
      </c>
      <c r="E29" s="1359">
        <f t="shared" si="6"/>
        <v>15273.715226420705</v>
      </c>
      <c r="F29" s="1359">
        <f t="shared" si="7"/>
        <v>150058.94017058983</v>
      </c>
      <c r="G29" s="1359">
        <f t="shared" si="8"/>
        <v>122572.27685978869</v>
      </c>
      <c r="H29" s="1360">
        <f t="shared" si="0"/>
        <v>486130.06689436187</v>
      </c>
      <c r="K29" s="1349"/>
      <c r="L29" s="1349"/>
      <c r="M29" s="1349"/>
      <c r="N29" s="1349"/>
      <c r="O29" s="1349"/>
      <c r="P29" s="1349"/>
      <c r="Q29" s="1349"/>
      <c r="R29" s="1345"/>
      <c r="S29" s="1345"/>
      <c r="T29" s="1345"/>
    </row>
    <row r="30" spans="2:20" ht="15" customHeight="1" x14ac:dyDescent="0.25">
      <c r="B30" s="1357">
        <v>23</v>
      </c>
      <c r="C30" s="1358">
        <v>2043</v>
      </c>
      <c r="D30" s="1359">
        <f t="shared" si="5"/>
        <v>201097.96267578821</v>
      </c>
      <c r="E30" s="1359">
        <f t="shared" si="6"/>
        <v>15273.715226420705</v>
      </c>
      <c r="F30" s="1359">
        <f t="shared" si="7"/>
        <v>150058.94017058983</v>
      </c>
      <c r="G30" s="1359">
        <f t="shared" si="8"/>
        <v>122572.27685978869</v>
      </c>
      <c r="H30" s="1360">
        <f t="shared" si="0"/>
        <v>489002.8949325874</v>
      </c>
      <c r="K30" s="1349"/>
      <c r="L30" s="1349"/>
      <c r="M30" s="1349"/>
      <c r="N30" s="1349"/>
      <c r="O30" s="1349"/>
      <c r="P30" s="1349"/>
      <c r="Q30" s="1349"/>
      <c r="R30" s="1345"/>
      <c r="S30" s="1345"/>
      <c r="T30" s="1345"/>
    </row>
    <row r="31" spans="2:20" ht="15" customHeight="1" x14ac:dyDescent="0.25">
      <c r="B31" s="1357">
        <v>24</v>
      </c>
      <c r="C31" s="1358">
        <v>2044</v>
      </c>
      <c r="D31" s="1359">
        <f t="shared" si="5"/>
        <v>203970.79071401374</v>
      </c>
      <c r="E31" s="1359">
        <f t="shared" si="6"/>
        <v>15273.715226420705</v>
      </c>
      <c r="F31" s="1359">
        <f t="shared" si="7"/>
        <v>150058.94017058983</v>
      </c>
      <c r="G31" s="1359">
        <f t="shared" si="8"/>
        <v>122572.27685978869</v>
      </c>
      <c r="H31" s="1361">
        <f t="shared" si="0"/>
        <v>491875.72297081293</v>
      </c>
      <c r="K31" s="1349"/>
      <c r="L31" s="1349"/>
      <c r="M31" s="1349"/>
      <c r="N31" s="1349"/>
      <c r="O31" s="1349"/>
      <c r="P31" s="1349"/>
      <c r="Q31" s="1349"/>
      <c r="R31" s="1345"/>
      <c r="S31" s="1345"/>
      <c r="T31" s="1345"/>
    </row>
    <row r="32" spans="2:20" ht="15" customHeight="1" x14ac:dyDescent="0.25">
      <c r="B32" s="1357">
        <v>25</v>
      </c>
      <c r="C32" s="1358">
        <v>2045</v>
      </c>
      <c r="D32" s="1359">
        <f t="shared" si="5"/>
        <v>206843.61875223927</v>
      </c>
      <c r="E32" s="1359">
        <f t="shared" si="6"/>
        <v>15273.715226420705</v>
      </c>
      <c r="F32" s="1359">
        <f t="shared" si="7"/>
        <v>150058.94017058983</v>
      </c>
      <c r="G32" s="1359">
        <f t="shared" si="8"/>
        <v>122572.27685978869</v>
      </c>
      <c r="H32" s="1360">
        <f t="shared" si="0"/>
        <v>494748.55100903846</v>
      </c>
      <c r="K32" s="1349"/>
      <c r="L32" s="1349"/>
      <c r="M32" s="1349"/>
      <c r="N32" s="1349"/>
      <c r="O32" s="1349"/>
      <c r="P32" s="1349"/>
      <c r="Q32" s="1349"/>
      <c r="R32" s="1345"/>
      <c r="S32" s="1345"/>
      <c r="T32" s="1345"/>
    </row>
    <row r="33" spans="2:20" ht="15" customHeight="1" x14ac:dyDescent="0.25">
      <c r="B33" s="1357">
        <v>26</v>
      </c>
      <c r="C33" s="1358">
        <v>2046</v>
      </c>
      <c r="D33" s="1359">
        <f t="shared" si="5"/>
        <v>209716.4467904648</v>
      </c>
      <c r="E33" s="1359">
        <f t="shared" si="6"/>
        <v>15273.715226420705</v>
      </c>
      <c r="F33" s="1359">
        <f t="shared" si="7"/>
        <v>150058.94017058983</v>
      </c>
      <c r="G33" s="1359">
        <f t="shared" si="8"/>
        <v>122572.27685978869</v>
      </c>
      <c r="H33" s="1360">
        <f t="shared" si="0"/>
        <v>497621.379047264</v>
      </c>
      <c r="K33" s="1349"/>
      <c r="L33" s="1349"/>
      <c r="M33" s="1349"/>
      <c r="N33" s="1349"/>
      <c r="O33" s="1349"/>
      <c r="P33" s="1349"/>
      <c r="Q33" s="1349"/>
      <c r="R33" s="1345"/>
      <c r="S33" s="1345"/>
      <c r="T33" s="1345"/>
    </row>
    <row r="34" spans="2:20" ht="15" customHeight="1" x14ac:dyDescent="0.25">
      <c r="B34" s="1357">
        <v>27</v>
      </c>
      <c r="C34" s="1358">
        <v>2047</v>
      </c>
      <c r="D34" s="1359">
        <f t="shared" si="5"/>
        <v>215462.10286691593</v>
      </c>
      <c r="E34" s="1359">
        <f t="shared" si="6"/>
        <v>15273.715226420705</v>
      </c>
      <c r="F34" s="1359">
        <f t="shared" si="7"/>
        <v>150058.94017058983</v>
      </c>
      <c r="G34" s="1359">
        <f t="shared" si="8"/>
        <v>122572.27685978869</v>
      </c>
      <c r="H34" s="1360">
        <f t="shared" si="0"/>
        <v>503367.03512371518</v>
      </c>
      <c r="K34" s="1349"/>
      <c r="L34" s="1349"/>
      <c r="M34" s="1349"/>
      <c r="N34" s="1349"/>
      <c r="O34" s="1349"/>
      <c r="P34" s="1349"/>
      <c r="Q34" s="1349"/>
      <c r="R34" s="1345"/>
      <c r="S34" s="1345"/>
      <c r="T34" s="1345"/>
    </row>
    <row r="35" spans="2:20" ht="15" customHeight="1" x14ac:dyDescent="0.25">
      <c r="B35" s="1357">
        <v>28</v>
      </c>
      <c r="C35" s="1358">
        <v>2048</v>
      </c>
      <c r="D35" s="1359">
        <f t="shared" si="5"/>
        <v>218334.93090514149</v>
      </c>
      <c r="E35" s="1359">
        <f t="shared" si="6"/>
        <v>15273.715226420705</v>
      </c>
      <c r="F35" s="1359">
        <f t="shared" si="7"/>
        <v>150058.94017058983</v>
      </c>
      <c r="G35" s="1359">
        <f t="shared" si="8"/>
        <v>122572.27685978869</v>
      </c>
      <c r="H35" s="1361">
        <f t="shared" si="0"/>
        <v>506239.86316194071</v>
      </c>
      <c r="K35" s="1349"/>
      <c r="L35" s="1349"/>
      <c r="M35" s="1349"/>
      <c r="N35" s="1349"/>
      <c r="O35" s="1349"/>
      <c r="P35" s="1349"/>
      <c r="Q35" s="1349"/>
      <c r="R35" s="1345"/>
      <c r="S35" s="1345"/>
      <c r="T35" s="1345"/>
    </row>
    <row r="36" spans="2:20" ht="15" customHeight="1" x14ac:dyDescent="0.25">
      <c r="B36" s="1357">
        <v>29</v>
      </c>
      <c r="C36" s="1358">
        <v>2049</v>
      </c>
      <c r="D36" s="1359">
        <f t="shared" si="5"/>
        <v>221207.75894336699</v>
      </c>
      <c r="E36" s="1359">
        <f t="shared" si="6"/>
        <v>15273.715226420705</v>
      </c>
      <c r="F36" s="1359">
        <f>SUM(J82:L82)</f>
        <v>150058.94017058983</v>
      </c>
      <c r="G36" s="1359">
        <f t="shared" si="8"/>
        <v>122572.27685978869</v>
      </c>
      <c r="H36" s="1360">
        <f t="shared" si="0"/>
        <v>509112.69120016624</v>
      </c>
      <c r="K36" s="1349"/>
      <c r="L36" s="1349"/>
      <c r="M36" s="1349"/>
      <c r="N36" s="1349"/>
      <c r="O36" s="1349"/>
      <c r="P36" s="1349"/>
      <c r="Q36" s="1349"/>
      <c r="R36" s="1345"/>
      <c r="S36" s="1345"/>
      <c r="T36" s="1345"/>
    </row>
    <row r="37" spans="2:20" ht="15" customHeight="1" x14ac:dyDescent="0.25">
      <c r="B37" s="1357">
        <v>30</v>
      </c>
      <c r="C37" s="1358">
        <v>2050</v>
      </c>
      <c r="D37" s="1359">
        <f t="shared" si="5"/>
        <v>224080.58698159255</v>
      </c>
      <c r="E37" s="1359">
        <f t="shared" si="6"/>
        <v>15273.715226420705</v>
      </c>
      <c r="F37" s="1359">
        <f t="shared" si="7"/>
        <v>150058.94017058983</v>
      </c>
      <c r="G37" s="1359">
        <f t="shared" si="8"/>
        <v>122572.27685978869</v>
      </c>
      <c r="H37" s="1360">
        <f t="shared" si="0"/>
        <v>511985.51923839177</v>
      </c>
      <c r="K37" s="1349"/>
      <c r="L37" s="1349"/>
      <c r="M37" s="1349"/>
      <c r="N37" s="1349"/>
      <c r="O37" s="1349"/>
      <c r="P37" s="1349"/>
      <c r="Q37" s="1349"/>
      <c r="R37" s="1345"/>
      <c r="S37" s="1345"/>
      <c r="T37" s="1345"/>
    </row>
    <row r="38" spans="2:20" ht="15" customHeight="1" x14ac:dyDescent="0.25">
      <c r="B38" s="1357">
        <v>31</v>
      </c>
      <c r="C38" s="1358">
        <v>2051</v>
      </c>
      <c r="D38" s="1359">
        <f t="shared" si="5"/>
        <v>228236.20658247056</v>
      </c>
      <c r="E38" s="1359">
        <f t="shared" si="6"/>
        <v>15273.715226420705</v>
      </c>
      <c r="F38" s="1359">
        <f t="shared" si="7"/>
        <v>150058.94017058983</v>
      </c>
      <c r="G38" s="1359">
        <f t="shared" si="8"/>
        <v>122572.27685978869</v>
      </c>
      <c r="H38" s="1360">
        <f t="shared" si="0"/>
        <v>516141.13883926976</v>
      </c>
      <c r="K38" s="1349"/>
      <c r="L38" s="1349"/>
      <c r="M38" s="1349"/>
      <c r="N38" s="1349"/>
      <c r="O38" s="1349"/>
      <c r="P38" s="1349"/>
      <c r="Q38" s="1349"/>
      <c r="R38" s="1345"/>
      <c r="S38" s="1345"/>
      <c r="T38" s="1345"/>
    </row>
    <row r="39" spans="2:20" ht="15" customHeight="1" x14ac:dyDescent="0.25">
      <c r="B39" s="1357">
        <v>32</v>
      </c>
      <c r="C39" s="1358">
        <v>2052</v>
      </c>
      <c r="D39" s="1359">
        <f t="shared" si="5"/>
        <v>232468.89298551923</v>
      </c>
      <c r="E39" s="1359">
        <f t="shared" si="6"/>
        <v>15273.715226420705</v>
      </c>
      <c r="F39" s="1359">
        <f t="shared" si="7"/>
        <v>150058.94017058983</v>
      </c>
      <c r="G39" s="1359">
        <f t="shared" si="8"/>
        <v>122572.27685978869</v>
      </c>
      <c r="H39" s="1361">
        <f t="shared" si="0"/>
        <v>520373.82524231845</v>
      </c>
      <c r="K39" s="1349"/>
      <c r="L39" s="1349"/>
      <c r="M39" s="1349"/>
      <c r="N39" s="1349"/>
      <c r="O39" s="1349"/>
      <c r="P39" s="1349"/>
      <c r="Q39" s="1349"/>
      <c r="R39" s="1345"/>
      <c r="S39" s="1345"/>
      <c r="T39" s="1345"/>
    </row>
    <row r="40" spans="2:20" ht="15" customHeight="1" x14ac:dyDescent="0.25">
      <c r="B40" s="1357">
        <v>33</v>
      </c>
      <c r="C40" s="1358">
        <v>2053</v>
      </c>
      <c r="D40" s="1359">
        <f t="shared" si="5"/>
        <v>236780.0754101011</v>
      </c>
      <c r="E40" s="1359">
        <f t="shared" si="6"/>
        <v>15273.715226420705</v>
      </c>
      <c r="F40" s="1359">
        <f t="shared" si="7"/>
        <v>150058.94017058983</v>
      </c>
      <c r="G40" s="1359">
        <f t="shared" si="8"/>
        <v>122572.27685978869</v>
      </c>
      <c r="H40" s="1360">
        <f t="shared" si="0"/>
        <v>524685.00766690029</v>
      </c>
      <c r="K40" s="1349"/>
      <c r="L40" s="1349"/>
      <c r="M40" s="1349"/>
      <c r="N40" s="1349"/>
      <c r="O40" s="1349"/>
      <c r="P40" s="1349"/>
      <c r="Q40" s="1349"/>
      <c r="R40" s="1345"/>
      <c r="S40" s="1345"/>
      <c r="T40" s="1345"/>
    </row>
    <row r="41" spans="2:20" ht="15" customHeight="1" x14ac:dyDescent="0.25">
      <c r="B41" s="1357">
        <v>34</v>
      </c>
      <c r="C41" s="1358">
        <v>2054</v>
      </c>
      <c r="D41" s="1359">
        <f t="shared" si="5"/>
        <v>241171.20958073949</v>
      </c>
      <c r="E41" s="1359">
        <f t="shared" si="6"/>
        <v>15273.715226420705</v>
      </c>
      <c r="F41" s="1359">
        <f t="shared" si="7"/>
        <v>150058.94017058983</v>
      </c>
      <c r="G41" s="1359">
        <f t="shared" si="8"/>
        <v>122572.27685978869</v>
      </c>
      <c r="H41" s="1360">
        <f t="shared" si="0"/>
        <v>529076.14183753869</v>
      </c>
      <c r="K41" s="1349"/>
      <c r="L41" s="1349"/>
      <c r="M41" s="1349"/>
      <c r="N41" s="1349"/>
      <c r="O41" s="1349"/>
      <c r="P41" s="1349"/>
      <c r="Q41" s="1349"/>
      <c r="R41" s="1345"/>
      <c r="S41" s="1345"/>
      <c r="T41" s="1345"/>
    </row>
    <row r="42" spans="2:20" ht="15" customHeight="1" x14ac:dyDescent="0.25">
      <c r="B42" s="1357">
        <v>35</v>
      </c>
      <c r="C42" s="1358">
        <v>2055</v>
      </c>
      <c r="D42" s="1359">
        <f t="shared" si="5"/>
        <v>245643.77821866216</v>
      </c>
      <c r="E42" s="1359">
        <f t="shared" si="6"/>
        <v>15273.715226420705</v>
      </c>
      <c r="F42" s="1359">
        <f t="shared" si="7"/>
        <v>150058.94017058983</v>
      </c>
      <c r="G42" s="1359">
        <f t="shared" si="8"/>
        <v>122572.27685978869</v>
      </c>
      <c r="H42" s="1360">
        <f t="shared" si="0"/>
        <v>533548.71047546132</v>
      </c>
      <c r="K42" s="1349"/>
      <c r="L42" s="1349"/>
      <c r="M42" s="1349"/>
      <c r="N42" s="1349"/>
      <c r="O42" s="1349"/>
      <c r="P42" s="1349"/>
      <c r="Q42" s="1349"/>
      <c r="R42" s="1345"/>
      <c r="S42" s="1345"/>
      <c r="T42" s="1345"/>
    </row>
    <row r="43" spans="2:20" ht="15" customHeight="1" x14ac:dyDescent="0.25">
      <c r="B43" s="1357">
        <v>36</v>
      </c>
      <c r="C43" s="1358">
        <v>2056</v>
      </c>
      <c r="D43" s="1359">
        <f t="shared" si="5"/>
        <v>250199.2915424605</v>
      </c>
      <c r="E43" s="1359">
        <f t="shared" si="6"/>
        <v>15273.715226420705</v>
      </c>
      <c r="F43" s="1359">
        <f t="shared" si="7"/>
        <v>150058.94017058983</v>
      </c>
      <c r="G43" s="1359">
        <f t="shared" si="8"/>
        <v>122572.27685978869</v>
      </c>
      <c r="H43" s="1361">
        <f t="shared" si="0"/>
        <v>538104.22379925975</v>
      </c>
      <c r="K43" s="1349"/>
      <c r="L43" s="1349"/>
      <c r="M43" s="1349"/>
      <c r="N43" s="1349"/>
      <c r="O43" s="1349"/>
      <c r="P43" s="1349"/>
      <c r="Q43" s="1349"/>
      <c r="R43" s="1345"/>
      <c r="S43" s="1345"/>
      <c r="T43" s="1345"/>
    </row>
    <row r="44" spans="2:20" ht="15" customHeight="1" x14ac:dyDescent="0.25">
      <c r="B44" s="1357">
        <v>37</v>
      </c>
      <c r="C44" s="1358">
        <v>2057</v>
      </c>
      <c r="D44" s="1359">
        <f t="shared" si="5"/>
        <v>254839.28777803373</v>
      </c>
      <c r="E44" s="1359">
        <f t="shared" si="6"/>
        <v>15273.715226420705</v>
      </c>
      <c r="F44" s="1359">
        <f t="shared" si="7"/>
        <v>150058.94017058983</v>
      </c>
      <c r="G44" s="1359">
        <f t="shared" si="8"/>
        <v>122572.27685978869</v>
      </c>
      <c r="H44" s="1360">
        <f t="shared" si="0"/>
        <v>542744.22003483295</v>
      </c>
      <c r="K44" s="1349"/>
      <c r="L44" s="1349"/>
      <c r="M44" s="1349"/>
      <c r="N44" s="1349"/>
      <c r="O44" s="1349"/>
      <c r="P44" s="1349"/>
      <c r="Q44" s="1349"/>
      <c r="R44" s="1345"/>
      <c r="S44" s="1345"/>
      <c r="T44" s="1345"/>
    </row>
    <row r="45" spans="2:20" ht="15" customHeight="1" x14ac:dyDescent="0.25">
      <c r="B45" s="1357">
        <v>38</v>
      </c>
      <c r="C45" s="1358">
        <v>2058</v>
      </c>
      <c r="D45" s="1359">
        <f t="shared" si="5"/>
        <v>259565.33367799013</v>
      </c>
      <c r="E45" s="1359">
        <f t="shared" si="6"/>
        <v>15273.715226420705</v>
      </c>
      <c r="F45" s="1359">
        <f t="shared" si="7"/>
        <v>150058.94017058983</v>
      </c>
      <c r="G45" s="1359">
        <f t="shared" si="8"/>
        <v>122572.27685978869</v>
      </c>
      <c r="H45" s="1360">
        <f t="shared" si="0"/>
        <v>547470.26593478932</v>
      </c>
      <c r="K45" s="1349"/>
      <c r="L45" s="1349"/>
      <c r="M45" s="1349"/>
      <c r="N45" s="1349"/>
      <c r="O45" s="1349"/>
      <c r="P45" s="1349"/>
      <c r="Q45" s="1349"/>
      <c r="R45" s="1345"/>
      <c r="S45" s="1345"/>
      <c r="T45" s="1345"/>
    </row>
    <row r="46" spans="2:20" ht="15" customHeight="1" x14ac:dyDescent="0.25">
      <c r="B46" s="1357">
        <v>39</v>
      </c>
      <c r="C46" s="1358">
        <v>2059</v>
      </c>
      <c r="D46" s="1359">
        <f t="shared" si="5"/>
        <v>264379.0250506805</v>
      </c>
      <c r="E46" s="1359">
        <f t="shared" si="6"/>
        <v>15273.715226420705</v>
      </c>
      <c r="F46" s="1359">
        <f t="shared" si="7"/>
        <v>150058.94017058983</v>
      </c>
      <c r="G46" s="1359">
        <f t="shared" si="8"/>
        <v>122572.27685978869</v>
      </c>
      <c r="H46" s="1360">
        <f t="shared" si="0"/>
        <v>552283.95730747981</v>
      </c>
      <c r="K46" s="1349"/>
      <c r="L46" s="1349"/>
      <c r="M46" s="1349"/>
      <c r="N46" s="1349"/>
      <c r="O46" s="1349"/>
      <c r="P46" s="1349"/>
      <c r="Q46" s="1349"/>
      <c r="R46" s="1345"/>
      <c r="S46" s="1345"/>
      <c r="T46" s="1345"/>
    </row>
    <row r="47" spans="2:20" ht="15" customHeight="1" x14ac:dyDescent="0.25">
      <c r="B47" s="1357">
        <v>40</v>
      </c>
      <c r="C47" s="1358">
        <v>2060</v>
      </c>
      <c r="D47" s="1359">
        <f t="shared" si="5"/>
        <v>269281.98729904281</v>
      </c>
      <c r="E47" s="1359">
        <f t="shared" si="6"/>
        <v>15273.715226420705</v>
      </c>
      <c r="F47" s="1359">
        <f t="shared" si="7"/>
        <v>150058.94017058983</v>
      </c>
      <c r="G47" s="1359">
        <f t="shared" si="8"/>
        <v>122572.27685978869</v>
      </c>
      <c r="H47" s="1361">
        <f t="shared" si="0"/>
        <v>557186.91955584206</v>
      </c>
      <c r="K47" s="1349"/>
      <c r="L47" s="1349"/>
      <c r="M47" s="1349"/>
      <c r="N47" s="1349"/>
      <c r="O47" s="1349"/>
      <c r="P47" s="1349"/>
      <c r="Q47" s="1349"/>
      <c r="R47" s="1345"/>
      <c r="S47" s="1345"/>
      <c r="T47" s="1345"/>
    </row>
    <row r="48" spans="2:20" ht="15" customHeight="1" thickBot="1" x14ac:dyDescent="0.3">
      <c r="B48" s="1362">
        <v>41</v>
      </c>
      <c r="C48" s="1363">
        <v>2061</v>
      </c>
      <c r="D48" s="1364">
        <f t="shared" si="5"/>
        <v>274275.87596943974</v>
      </c>
      <c r="E48" s="1364">
        <f t="shared" si="6"/>
        <v>15273.715226420705</v>
      </c>
      <c r="F48" s="1364">
        <f t="shared" si="7"/>
        <v>150058.94017058983</v>
      </c>
      <c r="G48" s="1364">
        <f t="shared" si="8"/>
        <v>122572.27685978869</v>
      </c>
      <c r="H48" s="1365">
        <f t="shared" si="0"/>
        <v>562180.80822623894</v>
      </c>
      <c r="K48" s="1349"/>
      <c r="L48" s="1349"/>
      <c r="M48" s="1349"/>
      <c r="N48" s="1349"/>
      <c r="O48" s="1349"/>
      <c r="P48" s="1349"/>
      <c r="Q48" s="1349"/>
      <c r="R48" s="1345"/>
      <c r="S48" s="1345"/>
      <c r="T48" s="1345"/>
    </row>
    <row r="49" spans="2:21" ht="15" customHeight="1" thickTop="1" x14ac:dyDescent="0.25">
      <c r="B49" s="1366" t="s">
        <v>508</v>
      </c>
      <c r="C49" s="1366"/>
      <c r="D49" s="1366"/>
      <c r="E49" s="1366"/>
      <c r="F49" s="1366"/>
      <c r="G49" s="1366"/>
      <c r="H49" s="1366"/>
      <c r="I49" s="1366"/>
      <c r="L49" s="1349"/>
      <c r="M49" s="1349"/>
      <c r="N49" s="1349"/>
      <c r="O49" s="1349"/>
      <c r="P49" s="1349"/>
      <c r="Q49" s="1349"/>
      <c r="R49" s="1349"/>
      <c r="S49" s="1345"/>
      <c r="T49" s="1345"/>
      <c r="U49" s="1345"/>
    </row>
    <row r="50" spans="2:21" ht="15" customHeight="1" x14ac:dyDescent="0.25">
      <c r="B50" s="1367"/>
      <c r="C50" s="1367"/>
      <c r="D50" s="1367"/>
      <c r="E50" s="1367"/>
      <c r="F50" s="1367" t="s">
        <v>475</v>
      </c>
      <c r="G50" s="1367"/>
      <c r="H50" s="1367"/>
      <c r="I50" s="1367"/>
      <c r="J50" s="1347" t="s">
        <v>475</v>
      </c>
      <c r="L50" s="1349"/>
      <c r="M50" s="1349"/>
      <c r="N50" s="1349"/>
      <c r="O50" s="1349"/>
      <c r="P50" s="1349"/>
      <c r="Q50" s="1349"/>
      <c r="R50" s="1349"/>
      <c r="S50" s="1345"/>
      <c r="T50" s="1345"/>
      <c r="U50" s="1345"/>
    </row>
    <row r="51" spans="2:21" ht="15" customHeight="1" x14ac:dyDescent="0.25">
      <c r="B51" s="1350" t="s">
        <v>7</v>
      </c>
      <c r="C51" s="1350" t="s">
        <v>316</v>
      </c>
      <c r="D51" s="1368" t="s">
        <v>799</v>
      </c>
      <c r="E51" s="1368"/>
      <c r="F51" s="1368"/>
      <c r="G51" s="1368" t="s">
        <v>798</v>
      </c>
      <c r="H51" s="1368"/>
      <c r="I51" s="1368"/>
      <c r="J51" s="1368" t="s">
        <v>800</v>
      </c>
      <c r="K51" s="1368"/>
      <c r="L51" s="1368"/>
      <c r="M51" s="1368" t="s">
        <v>801</v>
      </c>
      <c r="N51" s="1368"/>
      <c r="O51" s="1368"/>
      <c r="P51" s="1345"/>
      <c r="Q51" s="1345"/>
      <c r="R51" s="1345"/>
    </row>
    <row r="52" spans="2:21" ht="25.5" x14ac:dyDescent="0.25">
      <c r="B52" s="1353"/>
      <c r="C52" s="1353"/>
      <c r="D52" s="1369" t="s">
        <v>498</v>
      </c>
      <c r="E52" s="1369" t="s">
        <v>499</v>
      </c>
      <c r="F52" s="1369" t="s">
        <v>160</v>
      </c>
      <c r="G52" s="1369" t="s">
        <v>498</v>
      </c>
      <c r="H52" s="1369" t="s">
        <v>499</v>
      </c>
      <c r="I52" s="1369" t="s">
        <v>160</v>
      </c>
      <c r="J52" s="1369" t="s">
        <v>498</v>
      </c>
      <c r="K52" s="1369" t="s">
        <v>499</v>
      </c>
      <c r="L52" s="1369" t="s">
        <v>160</v>
      </c>
      <c r="M52" s="1369" t="s">
        <v>498</v>
      </c>
      <c r="N52" s="1369" t="s">
        <v>499</v>
      </c>
      <c r="O52" s="1369" t="s">
        <v>160</v>
      </c>
      <c r="P52" s="1345"/>
      <c r="Q52" s="1345"/>
      <c r="R52" s="1345"/>
    </row>
    <row r="53" spans="2:21" ht="15" x14ac:dyDescent="0.25">
      <c r="B53" s="1357">
        <v>0</v>
      </c>
      <c r="C53" s="1358">
        <v>2020</v>
      </c>
      <c r="D53" s="1367" t="s">
        <v>643</v>
      </c>
      <c r="E53" s="1367" t="s">
        <v>643</v>
      </c>
      <c r="F53" s="1367" t="s">
        <v>643</v>
      </c>
      <c r="G53" s="1367" t="s">
        <v>643</v>
      </c>
      <c r="H53" s="1367" t="s">
        <v>643</v>
      </c>
      <c r="I53" s="1367" t="s">
        <v>643</v>
      </c>
      <c r="J53" s="1367" t="s">
        <v>643</v>
      </c>
      <c r="K53" s="1367" t="s">
        <v>643</v>
      </c>
      <c r="L53" s="1367" t="s">
        <v>643</v>
      </c>
      <c r="M53" s="1367" t="s">
        <v>643</v>
      </c>
      <c r="N53" s="1367" t="s">
        <v>643</v>
      </c>
      <c r="O53" s="1367" t="s">
        <v>643</v>
      </c>
      <c r="P53" s="1345"/>
      <c r="Q53" s="1345"/>
      <c r="R53" s="1345"/>
    </row>
    <row r="54" spans="2:21" ht="15" x14ac:dyDescent="0.25">
      <c r="B54" s="1357">
        <v>1</v>
      </c>
      <c r="C54" s="1358">
        <v>2021</v>
      </c>
      <c r="D54" s="1367" t="s">
        <v>643</v>
      </c>
      <c r="E54" s="1367" t="s">
        <v>643</v>
      </c>
      <c r="F54" s="1367" t="s">
        <v>643</v>
      </c>
      <c r="G54" s="1367" t="s">
        <v>643</v>
      </c>
      <c r="H54" s="1367" t="s">
        <v>643</v>
      </c>
      <c r="I54" s="1367" t="s">
        <v>643</v>
      </c>
      <c r="J54" s="1367" t="s">
        <v>643</v>
      </c>
      <c r="K54" s="1367" t="s">
        <v>643</v>
      </c>
      <c r="L54" s="1367" t="s">
        <v>643</v>
      </c>
      <c r="M54" s="1367" t="s">
        <v>643</v>
      </c>
      <c r="N54" s="1367" t="s">
        <v>643</v>
      </c>
      <c r="O54" s="1367" t="s">
        <v>643</v>
      </c>
      <c r="P54" s="1345"/>
      <c r="Q54" s="1345"/>
      <c r="R54" s="1345"/>
    </row>
    <row r="55" spans="2:21" ht="15" x14ac:dyDescent="0.25">
      <c r="B55" s="1357">
        <v>2</v>
      </c>
      <c r="C55" s="1358">
        <v>2022</v>
      </c>
      <c r="D55" s="1370">
        <f>-D100*'VOC '!$I$38*'EmissRates(EPA)'!$E$13*'Rates - Single'!$E111/'Rates - Single'!$E$152</f>
        <v>7186.9185943739058</v>
      </c>
      <c r="E55" s="1370">
        <f>-E100*'VOC '!$I$38*'EmissRates(EPA)'!$E$13*'Rates - Single'!$E111/'Rates - Single'!$E$152</f>
        <v>44851.408117835228</v>
      </c>
      <c r="F55" s="1370">
        <f>-F100*'VOC '!$I$39*'EmissRates(EPA)'!$E$14*'Rates - Single'!$E111/'Rates - Single'!$E$152</f>
        <v>19724.706792549558</v>
      </c>
      <c r="G55" s="1370">
        <f>-D100*'EmissRates(EPA)'!$C$3*'Rates - Single'!$E$98/'Rates - Single'!$E$153</f>
        <v>924.19088814424981</v>
      </c>
      <c r="H55" s="1370">
        <f>-E100*'EmissRates(EPA)'!$C$3*'Rates - Single'!$E$98/'Rates - Single'!$E$153</f>
        <v>5767.5987502337093</v>
      </c>
      <c r="I55" s="1370">
        <f>-F100*'EmissRates(EPA)'!$H$3*'Rates - Single'!$E$98/'Rates - Single'!$E$153</f>
        <v>1091.3062578892052</v>
      </c>
      <c r="J55" s="1370">
        <f>-D100*'EmissRates(EPA)'!$C$6*'Rates - Single'!$E$100/'Rates - Single'!$E$153</f>
        <v>4770.9055168792465</v>
      </c>
      <c r="K55" s="1370">
        <f>-E100*'EmissRates(EPA)'!$C$6*'Rates - Single'!$E$100/'Rates - Single'!$E$153</f>
        <v>29773.793541601099</v>
      </c>
      <c r="L55" s="1370">
        <f>-F100*'EmissRates(EPA)'!$H$6*'Rates - Single'!$E$100/'Rates - Single'!$E$153</f>
        <v>42021.746590503994</v>
      </c>
      <c r="M55" s="1371" t="s">
        <v>643</v>
      </c>
      <c r="N55" s="1371" t="s">
        <v>643</v>
      </c>
      <c r="O55" s="1370">
        <f>-F100*'EmissRates(EPA)'!$H$7*'Rates - Single'!$E$101/'Rates - Single'!$E$153</f>
        <v>62632.235076805198</v>
      </c>
      <c r="P55" s="1345" t="s">
        <v>475</v>
      </c>
      <c r="Q55" s="1345"/>
      <c r="R55" s="1345"/>
    </row>
    <row r="56" spans="2:21" ht="15" x14ac:dyDescent="0.25">
      <c r="B56" s="1357">
        <v>3</v>
      </c>
      <c r="C56" s="1358">
        <v>2023</v>
      </c>
      <c r="D56" s="1370">
        <f>-D101*'VOC '!$I$38*'EmissRates(EPA)'!$E$13*'Rates - Single'!$E112/'Rates - Single'!$E$152</f>
        <v>7726.0609930367264</v>
      </c>
      <c r="E56" s="1370">
        <f>-E101*'VOC '!$I$38*'EmissRates(EPA)'!$E$13*'Rates - Single'!$E112/'Rates - Single'!$E$152</f>
        <v>48216.034478704882</v>
      </c>
      <c r="F56" s="1370">
        <f>-F101*'VOC '!$I$39*'EmissRates(EPA)'!$E$14*'Rates - Single'!$E112/'Rates - Single'!$E$152</f>
        <v>21197.368442881398</v>
      </c>
      <c r="G56" s="1370">
        <f>-D101*'EmissRates(EPA)'!$C$3*'Rates - Single'!$E$98/'Rates - Single'!$E$153</f>
        <v>973.65066484388444</v>
      </c>
      <c r="H56" s="1370">
        <f>-E101*'EmissRates(EPA)'!$C$3*'Rates - Single'!$E$98/'Rates - Single'!$E$153</f>
        <v>6076.2624147851466</v>
      </c>
      <c r="I56" s="1370">
        <f>-F101*'EmissRates(EPA)'!$H$3*'Rates - Single'!$E$98/'Rates - Single'!$E$153</f>
        <v>1149.3283349799979</v>
      </c>
      <c r="J56" s="1370">
        <f>-D101*'EmissRates(EPA)'!$C$6*'Rates - Single'!$E$100/'Rates - Single'!$E$153</f>
        <v>5026.2293082593151</v>
      </c>
      <c r="K56" s="1370">
        <f>-E101*'EmissRates(EPA)'!$C$6*'Rates - Single'!$E$100/'Rates - Single'!$E$153</f>
        <v>31367.192912834427</v>
      </c>
      <c r="L56" s="1370">
        <f>-F101*'EmissRates(EPA)'!$H$6*'Rates - Single'!$E$100/'Rates - Single'!$E$153</f>
        <v>44255.939790202028</v>
      </c>
      <c r="M56" s="1371" t="s">
        <v>643</v>
      </c>
      <c r="N56" s="1371" t="s">
        <v>643</v>
      </c>
      <c r="O56" s="1370">
        <f>-F101*'EmissRates(EPA)'!$H$7*'Rates - Single'!$E$101/'Rates - Single'!$E$153</f>
        <v>65962.237398082056</v>
      </c>
      <c r="P56" s="1345"/>
      <c r="Q56" s="1345"/>
      <c r="R56" s="1345"/>
    </row>
    <row r="57" spans="2:21" ht="15" x14ac:dyDescent="0.25">
      <c r="B57" s="1357">
        <v>4</v>
      </c>
      <c r="C57" s="1358">
        <v>2024</v>
      </c>
      <c r="D57" s="1370">
        <f>-D102*'VOC '!$I$38*'EmissRates(EPA)'!$E$13*'Rates - Single'!$E113/'Rates - Single'!$E$152</f>
        <v>8280.9022153241185</v>
      </c>
      <c r="E57" s="1370">
        <f>-E102*'VOC '!$I$38*'EmissRates(EPA)'!$E$13*'Rates - Single'!$E113/'Rates - Single'!$E$152</f>
        <v>51678.632499627405</v>
      </c>
      <c r="F57" s="1370">
        <f>-F102*'VOC '!$I$39*'EmissRates(EPA)'!$E$14*'Rates - Single'!$E113/'Rates - Single'!$E$152</f>
        <v>22712.834757763201</v>
      </c>
      <c r="G57" s="1370">
        <f>-D102*'EmissRates(EPA)'!$C$3*'Rates - Single'!$E$98/'Rates - Single'!$E$153</f>
        <v>1023.1104415435192</v>
      </c>
      <c r="H57" s="1370">
        <f>-E102*'EmissRates(EPA)'!$C$3*'Rates - Single'!$E$98/'Rates - Single'!$E$153</f>
        <v>6384.9260793365838</v>
      </c>
      <c r="I57" s="1370">
        <f>-F102*'EmissRates(EPA)'!$H$3*'Rates - Single'!$E$98/'Rates - Single'!$E$153</f>
        <v>1207.3504120707898</v>
      </c>
      <c r="J57" s="1370">
        <f>-D102*'EmissRates(EPA)'!$C$6*'Rates - Single'!$E$100/'Rates - Single'!$E$153</f>
        <v>5281.5530996393836</v>
      </c>
      <c r="K57" s="1370">
        <f>-E102*'EmissRates(EPA)'!$C$6*'Rates - Single'!$E$100/'Rates - Single'!$E$153</f>
        <v>32960.592284067752</v>
      </c>
      <c r="L57" s="1370">
        <f>-F102*'EmissRates(EPA)'!$H$6*'Rates - Single'!$E$100/'Rates - Single'!$E$153</f>
        <v>46490.132989900041</v>
      </c>
      <c r="M57" s="1371" t="s">
        <v>643</v>
      </c>
      <c r="N57" s="1371" t="s">
        <v>643</v>
      </c>
      <c r="O57" s="1370">
        <f>-F102*'EmissRates(EPA)'!$H$7*'Rates - Single'!$E$101/'Rates - Single'!$E$153</f>
        <v>69292.239719358913</v>
      </c>
      <c r="P57" s="1345"/>
      <c r="Q57" s="1345"/>
      <c r="R57" s="1345"/>
    </row>
    <row r="58" spans="2:21" ht="15" customHeight="1" x14ac:dyDescent="0.25">
      <c r="B58" s="1357">
        <v>5</v>
      </c>
      <c r="C58" s="1358">
        <v>2025</v>
      </c>
      <c r="D58" s="1370">
        <f>-D103*'VOC '!$I$38*'EmissRates(EPA)'!$E$13*'Rates - Single'!$E114/'Rates - Single'!$E$152</f>
        <v>8851.4422612360813</v>
      </c>
      <c r="E58" s="1370">
        <f>-E103*'VOC '!$I$38*'EmissRates(EPA)'!$E$13*'Rates - Single'!$E114/'Rates - Single'!$E$152</f>
        <v>55239.202180602799</v>
      </c>
      <c r="F58" s="1370">
        <f>-F103*'VOC '!$I$39*'EmissRates(EPA)'!$E$14*'Rates - Single'!$E114/'Rates - Single'!$E$152</f>
        <v>24271.105737194979</v>
      </c>
      <c r="G58" s="1370">
        <f>-D103*'EmissRates(EPA)'!$C$3*'Rates - Single'!$E$98/'Rates - Single'!$E$153</f>
        <v>1072.5702182431535</v>
      </c>
      <c r="H58" s="1370">
        <f>-E103*'EmissRates(EPA)'!$C$3*'Rates - Single'!$E$98/'Rates - Single'!$E$153</f>
        <v>6693.5897438880193</v>
      </c>
      <c r="I58" s="1370">
        <f>-F103*'EmissRates(EPA)'!$H$3*'Rates - Single'!$E$98/'Rates - Single'!$E$153</f>
        <v>1265.3724891615825</v>
      </c>
      <c r="J58" s="1370">
        <f>-D103*'EmissRates(EPA)'!$C$6*'Rates - Single'!$E$100/'Rates - Single'!$E$153</f>
        <v>5536.8768910194494</v>
      </c>
      <c r="K58" s="1370">
        <f>-E103*'EmissRates(EPA)'!$C$6*'Rates - Single'!$E$100/'Rates - Single'!$E$153</f>
        <v>34553.99165530107</v>
      </c>
      <c r="L58" s="1370">
        <f>-F103*'EmissRates(EPA)'!$H$6*'Rates - Single'!$E$100/'Rates - Single'!$E$153</f>
        <v>48724.326189598083</v>
      </c>
      <c r="M58" s="1371" t="s">
        <v>643</v>
      </c>
      <c r="N58" s="1371" t="s">
        <v>643</v>
      </c>
      <c r="O58" s="1370">
        <f>-F103*'EmissRates(EPA)'!$H$7*'Rates - Single'!$E$101/'Rates - Single'!$E$153</f>
        <v>72622.2420406358</v>
      </c>
      <c r="P58" s="1345"/>
      <c r="Q58" s="1345"/>
      <c r="R58" s="1345"/>
    </row>
    <row r="59" spans="2:21" ht="15" customHeight="1" x14ac:dyDescent="0.25">
      <c r="B59" s="1357">
        <v>6</v>
      </c>
      <c r="C59" s="1358">
        <v>2026</v>
      </c>
      <c r="D59" s="1370">
        <f>-D104*'VOC '!$I$38*'EmissRates(EPA)'!$E$13*'Rates - Single'!$E115/'Rates - Single'!$E$152</f>
        <v>9437.6811307726275</v>
      </c>
      <c r="E59" s="1370">
        <f>-E104*'VOC '!$I$38*'EmissRates(EPA)'!$E$13*'Rates - Single'!$E115/'Rates - Single'!$E$152</f>
        <v>58897.743521631062</v>
      </c>
      <c r="F59" s="1370">
        <f>-F104*'VOC '!$I$39*'EmissRates(EPA)'!$E$14*'Rates - Single'!$E115/'Rates - Single'!$E$152</f>
        <v>25872.181381176717</v>
      </c>
      <c r="G59" s="1370">
        <f>-D104*'EmissRates(EPA)'!$C$3*'Rates - Single'!$E$98/'Rates - Single'!$E$153</f>
        <v>1122.0299949427883</v>
      </c>
      <c r="H59" s="1370">
        <f>-E104*'EmissRates(EPA)'!$C$3*'Rates - Single'!$E$98/'Rates - Single'!$E$153</f>
        <v>7002.2534084394556</v>
      </c>
      <c r="I59" s="1370">
        <f>-F104*'EmissRates(EPA)'!$H$3*'Rates - Single'!$E$98/'Rates - Single'!$E$153</f>
        <v>1323.3945662523747</v>
      </c>
      <c r="J59" s="1370">
        <f>-D104*'EmissRates(EPA)'!$C$6*'Rates - Single'!$E$100/'Rates - Single'!$E$153</f>
        <v>5792.2006823995189</v>
      </c>
      <c r="K59" s="1370">
        <f>-E104*'EmissRates(EPA)'!$C$6*'Rates - Single'!$E$100/'Rates - Single'!$E$153</f>
        <v>36147.391026534395</v>
      </c>
      <c r="L59" s="1370">
        <f>-F104*'EmissRates(EPA)'!$H$6*'Rates - Single'!$E$100/'Rates - Single'!$E$153</f>
        <v>50958.519389296103</v>
      </c>
      <c r="M59" s="1371" t="s">
        <v>643</v>
      </c>
      <c r="N59" s="1371" t="s">
        <v>643</v>
      </c>
      <c r="O59" s="1370">
        <f>-F104*'EmissRates(EPA)'!$H$7*'Rates - Single'!$E$101/'Rates - Single'!$E$153</f>
        <v>75952.244361912657</v>
      </c>
      <c r="P59" s="1345"/>
      <c r="Q59" s="1345"/>
      <c r="R59" s="1345"/>
    </row>
    <row r="60" spans="2:21" ht="15" customHeight="1" x14ac:dyDescent="0.25">
      <c r="B60" s="1357">
        <v>7</v>
      </c>
      <c r="C60" s="1358">
        <v>2027</v>
      </c>
      <c r="D60" s="1370">
        <f>-D105*'VOC '!$I$38*'EmissRates(EPA)'!$E$13*'Rates - Single'!$E116/'Rates - Single'!$E$152</f>
        <v>10039.618823933743</v>
      </c>
      <c r="E60" s="1370">
        <f>-E105*'VOC '!$I$38*'EmissRates(EPA)'!$E$13*'Rates - Single'!$E116/'Rates - Single'!$E$152</f>
        <v>62654.256522712247</v>
      </c>
      <c r="F60" s="1370">
        <f>-F105*'VOC '!$I$39*'EmissRates(EPA)'!$E$14*'Rates - Single'!$E116/'Rates - Single'!$E$152</f>
        <v>27516.061689708415</v>
      </c>
      <c r="G60" s="1370">
        <f>-D105*'EmissRates(EPA)'!$C$3*'Rates - Single'!$E$98/'Rates - Single'!$E$153</f>
        <v>1171.4897716424227</v>
      </c>
      <c r="H60" s="1370">
        <f>-E105*'EmissRates(EPA)'!$C$3*'Rates - Single'!$E$98/'Rates - Single'!$E$153</f>
        <v>7310.9170729908938</v>
      </c>
      <c r="I60" s="1370">
        <f>-F105*'EmissRates(EPA)'!$H$3*'Rates - Single'!$E$98/'Rates - Single'!$E$153</f>
        <v>1381.4166433431669</v>
      </c>
      <c r="J60" s="1370">
        <f>-D105*'EmissRates(EPA)'!$C$6*'Rates - Single'!$E$100/'Rates - Single'!$E$153</f>
        <v>6047.5244737795874</v>
      </c>
      <c r="K60" s="1370">
        <f>-E105*'EmissRates(EPA)'!$C$6*'Rates - Single'!$E$100/'Rates - Single'!$E$153</f>
        <v>37740.790397767727</v>
      </c>
      <c r="L60" s="1370">
        <f>-F105*'EmissRates(EPA)'!$H$6*'Rates - Single'!$E$100/'Rates - Single'!$E$153</f>
        <v>53192.712588994124</v>
      </c>
      <c r="M60" s="1371" t="s">
        <v>643</v>
      </c>
      <c r="N60" s="1371" t="s">
        <v>643</v>
      </c>
      <c r="O60" s="1370">
        <f>-F105*'EmissRates(EPA)'!$H$7*'Rates - Single'!$E$101/'Rates - Single'!$E$153</f>
        <v>79282.246683189485</v>
      </c>
      <c r="P60" s="1345"/>
      <c r="Q60" s="1345"/>
      <c r="R60" s="1345"/>
    </row>
    <row r="61" spans="2:21" ht="15" customHeight="1" x14ac:dyDescent="0.25">
      <c r="B61" s="1357">
        <v>8</v>
      </c>
      <c r="C61" s="1358">
        <v>2028</v>
      </c>
      <c r="D61" s="1370">
        <f>-D106*'VOC '!$I$38*'EmissRates(EPA)'!$E$13*'Rates - Single'!$E117/'Rates - Single'!$E$152</f>
        <v>10657.255340719437</v>
      </c>
      <c r="E61" s="1370">
        <f>-E106*'VOC '!$I$38*'EmissRates(EPA)'!$E$13*'Rates - Single'!$E117/'Rates - Single'!$E$152</f>
        <v>66508.741183846287</v>
      </c>
      <c r="F61" s="1370">
        <f>-F106*'VOC '!$I$39*'EmissRates(EPA)'!$E$14*'Rates - Single'!$E117/'Rates - Single'!$E$152</f>
        <v>29202.746662790105</v>
      </c>
      <c r="G61" s="1370">
        <f>-D106*'EmissRates(EPA)'!$C$3*'Rates - Single'!$E$98/'Rates - Single'!$E$153</f>
        <v>1220.9495483420576</v>
      </c>
      <c r="H61" s="1370">
        <f>-E106*'EmissRates(EPA)'!$C$3*'Rates - Single'!$E$98/'Rates - Single'!$E$153</f>
        <v>7619.580737542331</v>
      </c>
      <c r="I61" s="1370">
        <f>-F106*'EmissRates(EPA)'!$H$3*'Rates - Single'!$E$98/'Rates - Single'!$E$153</f>
        <v>1439.4387204339596</v>
      </c>
      <c r="J61" s="1370">
        <f>-D106*'EmissRates(EPA)'!$C$6*'Rates - Single'!$E$100/'Rates - Single'!$E$153</f>
        <v>6302.848265159656</v>
      </c>
      <c r="K61" s="1370">
        <f>-E106*'EmissRates(EPA)'!$C$6*'Rates - Single'!$E$100/'Rates - Single'!$E$153</f>
        <v>39334.189769001045</v>
      </c>
      <c r="L61" s="1370">
        <f>-F106*'EmissRates(EPA)'!$H$6*'Rates - Single'!$E$100/'Rates - Single'!$E$153</f>
        <v>55426.905788692166</v>
      </c>
      <c r="M61" s="1371" t="s">
        <v>643</v>
      </c>
      <c r="N61" s="1371" t="s">
        <v>643</v>
      </c>
      <c r="O61" s="1370">
        <f>-F106*'EmissRates(EPA)'!$H$7*'Rates - Single'!$E$101/'Rates - Single'!$E$153</f>
        <v>82612.249004466386</v>
      </c>
      <c r="P61" s="1345"/>
      <c r="Q61" s="1345"/>
      <c r="R61" s="1345"/>
    </row>
    <row r="62" spans="2:21" ht="15" customHeight="1" x14ac:dyDescent="0.25">
      <c r="B62" s="1357">
        <v>9</v>
      </c>
      <c r="C62" s="1358">
        <v>2029</v>
      </c>
      <c r="D62" s="1370">
        <f>-D107*'VOC '!$I$38*'EmissRates(EPA)'!$E$13*'Rates - Single'!$E118/'Rates - Single'!$E$152</f>
        <v>11088.972990395245</v>
      </c>
      <c r="E62" s="1370">
        <f>-E107*'VOC '!$I$38*'EmissRates(EPA)'!$E$13*'Rates - Single'!$E118/'Rates - Single'!$E$152</f>
        <v>69202.961835300477</v>
      </c>
      <c r="F62" s="1370">
        <f>-F107*'VOC '!$I$39*'EmissRates(EPA)'!$E$14*'Rates - Single'!$E118/'Rates - Single'!$E$152</f>
        <v>30379.874937914206</v>
      </c>
      <c r="G62" s="1370">
        <f>-D107*'EmissRates(EPA)'!$C$3*'Rates - Single'!$E$98/'Rates - Single'!$E$153</f>
        <v>1270.4093250416925</v>
      </c>
      <c r="H62" s="1370">
        <f>-E107*'EmissRates(EPA)'!$C$3*'Rates - Single'!$E$98/'Rates - Single'!$E$153</f>
        <v>7928.2444020937683</v>
      </c>
      <c r="I62" s="1370">
        <f>-F107*'EmissRates(EPA)'!$H$3*'Rates - Single'!$E$98/'Rates - Single'!$E$153</f>
        <v>1497.4607975247518</v>
      </c>
      <c r="J62" s="1370">
        <f>-D107*'EmissRates(EPA)'!$C$6*'Rates - Single'!$E$100/'Rates - Single'!$E$153</f>
        <v>6558.1720565397245</v>
      </c>
      <c r="K62" s="1370">
        <f>-E107*'EmissRates(EPA)'!$C$6*'Rates - Single'!$E$100/'Rates - Single'!$E$153</f>
        <v>40927.589140234377</v>
      </c>
      <c r="L62" s="1370">
        <f>-F107*'EmissRates(EPA)'!$H$6*'Rates - Single'!$E$100/'Rates - Single'!$E$153</f>
        <v>57661.098988390186</v>
      </c>
      <c r="M62" s="1371" t="s">
        <v>643</v>
      </c>
      <c r="N62" s="1371" t="s">
        <v>643</v>
      </c>
      <c r="O62" s="1370">
        <f>-F107*'EmissRates(EPA)'!$H$7*'Rates - Single'!$E$101/'Rates - Single'!$E$153</f>
        <v>85942.251325743229</v>
      </c>
      <c r="P62" s="1345"/>
      <c r="Q62" s="1345"/>
      <c r="R62" s="1345"/>
    </row>
    <row r="63" spans="2:21" ht="15" customHeight="1" x14ac:dyDescent="0.25">
      <c r="B63" s="1357">
        <v>10</v>
      </c>
      <c r="C63" s="1358">
        <v>2030</v>
      </c>
      <c r="D63" s="1370">
        <f>-D108*'VOC '!$I$38*'EmissRates(EPA)'!$E$13*'Rates - Single'!$E119/'Rates - Single'!$E$152</f>
        <v>11939.624845164541</v>
      </c>
      <c r="E63" s="1370">
        <f>-E108*'VOC '!$I$38*'EmissRates(EPA)'!$E$13*'Rates - Single'!$E119/'Rates - Single'!$E$152</f>
        <v>74511.625486273013</v>
      </c>
      <c r="F63" s="1370">
        <f>-F108*'VOC '!$I$39*'EmissRates(EPA)'!$E$14*'Rates - Single'!$E119/'Rates - Single'!$E$152</f>
        <v>32704.530602603358</v>
      </c>
      <c r="G63" s="1370">
        <f>-D108*'EmissRates(EPA)'!$C$3*'Rates - Single'!$E$98/'Rates - Single'!$E$153</f>
        <v>1319.8691017413269</v>
      </c>
      <c r="H63" s="1370">
        <f>-E108*'EmissRates(EPA)'!$C$3*'Rates - Single'!$E$98/'Rates - Single'!$E$153</f>
        <v>8236.9080666452028</v>
      </c>
      <c r="I63" s="1370">
        <f>-F108*'EmissRates(EPA)'!$H$3*'Rates - Single'!$E$98/'Rates - Single'!$E$153</f>
        <v>1555.4828746155447</v>
      </c>
      <c r="J63" s="1370">
        <f>-D108*'EmissRates(EPA)'!$C$6*'Rates - Single'!$E$100/'Rates - Single'!$E$153</f>
        <v>6813.4958479197921</v>
      </c>
      <c r="K63" s="1370">
        <f>-E108*'EmissRates(EPA)'!$C$6*'Rates - Single'!$E$100/'Rates - Single'!$E$153</f>
        <v>42520.988511467687</v>
      </c>
      <c r="L63" s="1370">
        <f>-F108*'EmissRates(EPA)'!$H$6*'Rates - Single'!$E$100/'Rates - Single'!$E$153</f>
        <v>59895.292188088235</v>
      </c>
      <c r="M63" s="1371" t="s">
        <v>643</v>
      </c>
      <c r="N63" s="1371" t="s">
        <v>643</v>
      </c>
      <c r="O63" s="1370">
        <f>-F108*'EmissRates(EPA)'!$H$7*'Rates - Single'!$E$101/'Rates - Single'!$E$153</f>
        <v>89272.253647020116</v>
      </c>
      <c r="P63" s="1345"/>
      <c r="Q63" s="1345"/>
      <c r="R63" s="1345"/>
    </row>
    <row r="64" spans="2:21" ht="15" customHeight="1" x14ac:dyDescent="0.25">
      <c r="B64" s="1357">
        <v>11</v>
      </c>
      <c r="C64" s="1358">
        <v>2031</v>
      </c>
      <c r="D64" s="1370">
        <f>-D109*'VOC '!$I$38*'EmissRates(EPA)'!$E$13*'Rates - Single'!$E120/'Rates - Single'!$E$152</f>
        <v>12604.357832823958</v>
      </c>
      <c r="E64" s="1370">
        <f>-E109*'VOC '!$I$38*'EmissRates(EPA)'!$E$13*'Rates - Single'!$E120/'Rates - Single'!$E$152</f>
        <v>78660.025127565692</v>
      </c>
      <c r="F64" s="1370">
        <f>-F109*'VOC '!$I$39*'EmissRates(EPA)'!$E$14*'Rates - Single'!$E120/'Rates - Single'!$E$152</f>
        <v>34519.629569334931</v>
      </c>
      <c r="G64" s="1370">
        <f>-D109*'EmissRates(EPA)'!$C$3*'Rates - Single'!$E$98/'Rates - Single'!$E$153</f>
        <v>1369.328878440961</v>
      </c>
      <c r="H64" s="1370">
        <f>-E109*'EmissRates(EPA)'!$C$3*'Rates - Single'!$E$98/'Rates - Single'!$E$153</f>
        <v>8545.57173119664</v>
      </c>
      <c r="I64" s="1370">
        <f>-F109*'EmissRates(EPA)'!$H$3*'Rates - Single'!$E$98/'Rates - Single'!$E$153</f>
        <v>1613.5049517063364</v>
      </c>
      <c r="J64" s="1370">
        <f>-D109*'EmissRates(EPA)'!$C$6*'Rates - Single'!$E$100/'Rates - Single'!$E$153</f>
        <v>7068.8196392998589</v>
      </c>
      <c r="K64" s="1370">
        <f>-E109*'EmissRates(EPA)'!$C$6*'Rates - Single'!$E$100/'Rates - Single'!$E$153</f>
        <v>44114.387882701019</v>
      </c>
      <c r="L64" s="1370">
        <f>-F109*'EmissRates(EPA)'!$H$6*'Rates - Single'!$E$100/'Rates - Single'!$E$153</f>
        <v>62129.485387786241</v>
      </c>
      <c r="M64" s="1371" t="s">
        <v>643</v>
      </c>
      <c r="N64" s="1371" t="s">
        <v>643</v>
      </c>
      <c r="O64" s="1370">
        <f>-F109*'EmissRates(EPA)'!$H$7*'Rates - Single'!$E$101/'Rates - Single'!$E$153</f>
        <v>92602.255968296959</v>
      </c>
      <c r="P64" s="1345"/>
      <c r="Q64" s="1345"/>
      <c r="R64" s="1345"/>
    </row>
    <row r="65" spans="2:18" ht="15" customHeight="1" x14ac:dyDescent="0.25">
      <c r="B65" s="1357">
        <v>12</v>
      </c>
      <c r="C65" s="1358">
        <v>2032</v>
      </c>
      <c r="D65" s="1370">
        <f>-D110*'VOC '!$I$38*'EmissRates(EPA)'!$E$13*'Rates - Single'!$E121/'Rates - Single'!$E$152</f>
        <v>13284.78964410795</v>
      </c>
      <c r="E65" s="1370">
        <f>-E110*'VOC '!$I$38*'EmissRates(EPA)'!$E$13*'Rates - Single'!$E121/'Rates - Single'!$E$152</f>
        <v>82906.396428911234</v>
      </c>
      <c r="F65" s="1370">
        <f>-F110*'VOC '!$I$39*'EmissRates(EPA)'!$E$14*'Rates - Single'!$E121/'Rates - Single'!$E$152</f>
        <v>36377.533200616475</v>
      </c>
      <c r="G65" s="1370">
        <f>-D110*'EmissRates(EPA)'!$C$3*'Rates - Single'!$E$98/'Rates - Single'!$E$153</f>
        <v>1418.7886551405961</v>
      </c>
      <c r="H65" s="1370">
        <f>-E110*'EmissRates(EPA)'!$C$3*'Rates - Single'!$E$98/'Rates - Single'!$E$153</f>
        <v>8854.2353957480755</v>
      </c>
      <c r="I65" s="1370">
        <f>-F110*'EmissRates(EPA)'!$H$3*'Rates - Single'!$E$98/'Rates - Single'!$E$153</f>
        <v>1671.5270287971287</v>
      </c>
      <c r="J65" s="1370">
        <f>-D110*'EmissRates(EPA)'!$C$6*'Rates - Single'!$E$100/'Rates - Single'!$E$153</f>
        <v>7324.1434306799301</v>
      </c>
      <c r="K65" s="1370">
        <f>-E110*'EmissRates(EPA)'!$C$6*'Rates - Single'!$E$100/'Rates - Single'!$E$153</f>
        <v>45707.787253934337</v>
      </c>
      <c r="L65" s="1370">
        <f>-F110*'EmissRates(EPA)'!$H$6*'Rates - Single'!$E$100/'Rates - Single'!$E$153</f>
        <v>64363.678587484261</v>
      </c>
      <c r="M65" s="1371" t="s">
        <v>643</v>
      </c>
      <c r="N65" s="1371" t="s">
        <v>643</v>
      </c>
      <c r="O65" s="1370">
        <f>-F110*'EmissRates(EPA)'!$H$7*'Rates - Single'!$E$101/'Rates - Single'!$E$153</f>
        <v>95932.258289573831</v>
      </c>
      <c r="P65" s="1345"/>
      <c r="Q65" s="1345"/>
      <c r="R65" s="1345"/>
    </row>
    <row r="66" spans="2:18" ht="15" customHeight="1" x14ac:dyDescent="0.25">
      <c r="B66" s="1357">
        <v>13</v>
      </c>
      <c r="C66" s="1358">
        <v>2033</v>
      </c>
      <c r="D66" s="1370">
        <f>-D111*'VOC '!$I$38*'EmissRates(EPA)'!$E$13*'Rates - Single'!$E122/'Rates - Single'!$E$152</f>
        <v>13980.920279016516</v>
      </c>
      <c r="E66" s="1370">
        <f>-E111*'VOC '!$I$38*'EmissRates(EPA)'!$E$13*'Rates - Single'!$E122/'Rates - Single'!$E$152</f>
        <v>87250.739390309696</v>
      </c>
      <c r="F66" s="1370">
        <f>-F111*'VOC '!$I$39*'EmissRates(EPA)'!$E$14*'Rates - Single'!$E122/'Rates - Single'!$E$152</f>
        <v>38278.241496447998</v>
      </c>
      <c r="G66" s="1370">
        <f>-D111*'EmissRates(EPA)'!$C$3*'Rates - Single'!$E$98/'Rates - Single'!$E$153</f>
        <v>1468.2484318402305</v>
      </c>
      <c r="H66" s="1370">
        <f>-E111*'EmissRates(EPA)'!$C$3*'Rates - Single'!$E$98/'Rates - Single'!$E$153</f>
        <v>9162.8990602995145</v>
      </c>
      <c r="I66" s="1370">
        <f>-F111*'EmissRates(EPA)'!$H$3*'Rates - Single'!$E$98/'Rates - Single'!$E$153</f>
        <v>1729.5491058879211</v>
      </c>
      <c r="J66" s="1370">
        <f>-D111*'EmissRates(EPA)'!$C$6*'Rates - Single'!$E$100/'Rates - Single'!$E$153</f>
        <v>7579.4672220599969</v>
      </c>
      <c r="K66" s="1370">
        <f>-E111*'EmissRates(EPA)'!$C$6*'Rates - Single'!$E$100/'Rates - Single'!$E$153</f>
        <v>47301.186625167655</v>
      </c>
      <c r="L66" s="1370">
        <f>-F111*'EmissRates(EPA)'!$H$6*'Rates - Single'!$E$100/'Rates - Single'!$E$153</f>
        <v>66597.871787182303</v>
      </c>
      <c r="M66" s="1371" t="s">
        <v>643</v>
      </c>
      <c r="N66" s="1371" t="s">
        <v>643</v>
      </c>
      <c r="O66" s="1370">
        <f>-F111*'EmissRates(EPA)'!$H$7*'Rates - Single'!$E$101/'Rates - Single'!$E$153</f>
        <v>99262.260610850717</v>
      </c>
      <c r="P66" s="1345"/>
      <c r="Q66" s="1345"/>
      <c r="R66" s="1345"/>
    </row>
    <row r="67" spans="2:18" ht="15" customHeight="1" x14ac:dyDescent="0.25">
      <c r="B67" s="1357">
        <v>14</v>
      </c>
      <c r="C67" s="1358">
        <v>2034</v>
      </c>
      <c r="D67" s="1370">
        <f>-D112*'VOC '!$I$38*'EmissRates(EPA)'!$E$13*'Rates - Single'!$E123/'Rates - Single'!$E$152</f>
        <v>14692.749737549659</v>
      </c>
      <c r="E67" s="1370">
        <f>-E112*'VOC '!$I$38*'EmissRates(EPA)'!$E$13*'Rates - Single'!$E123/'Rates - Single'!$E$152</f>
        <v>91693.054011761022</v>
      </c>
      <c r="F67" s="1370">
        <f>-F112*'VOC '!$I$39*'EmissRates(EPA)'!$E$14*'Rates - Single'!$E123/'Rates - Single'!$E$152</f>
        <v>40221.754456829476</v>
      </c>
      <c r="G67" s="1370">
        <f>-D112*'EmissRates(EPA)'!$C$3*'Rates - Single'!$E$98/'Rates - Single'!$E$153</f>
        <v>1517.7082085398654</v>
      </c>
      <c r="H67" s="1370">
        <f>-E112*'EmissRates(EPA)'!$C$3*'Rates - Single'!$E$98/'Rates - Single'!$E$153</f>
        <v>9471.56272485095</v>
      </c>
      <c r="I67" s="1370">
        <f>-F112*'EmissRates(EPA)'!$H$3*'Rates - Single'!$E$98/'Rates - Single'!$E$153</f>
        <v>1787.5711829787138</v>
      </c>
      <c r="J67" s="1370">
        <f>-D112*'EmissRates(EPA)'!$C$6*'Rates - Single'!$E$100/'Rates - Single'!$E$153</f>
        <v>7834.7910134400654</v>
      </c>
      <c r="K67" s="1370">
        <f>-E112*'EmissRates(EPA)'!$C$6*'Rates - Single'!$E$100/'Rates - Single'!$E$153</f>
        <v>48894.585996400987</v>
      </c>
      <c r="L67" s="1370">
        <f>-F112*'EmissRates(EPA)'!$H$6*'Rates - Single'!$E$100/'Rates - Single'!$E$153</f>
        <v>68832.064986880316</v>
      </c>
      <c r="M67" s="1371" t="s">
        <v>643</v>
      </c>
      <c r="N67" s="1371" t="s">
        <v>643</v>
      </c>
      <c r="O67" s="1370">
        <f>-F112*'EmissRates(EPA)'!$H$7*'Rates - Single'!$E$101/'Rates - Single'!$E$153</f>
        <v>102592.26293212756</v>
      </c>
      <c r="P67" s="1345"/>
      <c r="Q67" s="1345"/>
      <c r="R67" s="1345"/>
    </row>
    <row r="68" spans="2:18" ht="15" customHeight="1" x14ac:dyDescent="0.25">
      <c r="B68" s="1357">
        <v>15</v>
      </c>
      <c r="C68" s="1358">
        <v>2035</v>
      </c>
      <c r="D68" s="1370">
        <f>-D113*'VOC '!$I$38*'EmissRates(EPA)'!$E$13*'Rates - Single'!$E124/'Rates - Single'!$E$152</f>
        <v>15420.278019707372</v>
      </c>
      <c r="E68" s="1370">
        <f>-E113*'VOC '!$I$38*'EmissRates(EPA)'!$E$13*'Rates - Single'!$E124/'Rates - Single'!$E$152</f>
        <v>96233.340293265181</v>
      </c>
      <c r="F68" s="1370">
        <f>-F113*'VOC '!$I$39*'EmissRates(EPA)'!$E$14*'Rates - Single'!$E124/'Rates - Single'!$E$152</f>
        <v>42208.072081760925</v>
      </c>
      <c r="G68" s="1370">
        <f>-D113*'EmissRates(EPA)'!$C$3*'Rates - Single'!$E$98/'Rates - Single'!$E$153</f>
        <v>1567.1679852394998</v>
      </c>
      <c r="H68" s="1370">
        <f>-E113*'EmissRates(EPA)'!$C$3*'Rates - Single'!$E$98/'Rates - Single'!$E$153</f>
        <v>9780.2263894023872</v>
      </c>
      <c r="I68" s="1370">
        <f>-F113*'EmissRates(EPA)'!$H$3*'Rates - Single'!$E$98/'Rates - Single'!$E$153</f>
        <v>1845.593260069506</v>
      </c>
      <c r="J68" s="1370">
        <f>-D113*'EmissRates(EPA)'!$C$6*'Rates - Single'!$E$100/'Rates - Single'!$E$153</f>
        <v>8090.1148048201321</v>
      </c>
      <c r="K68" s="1370">
        <f>-E113*'EmissRates(EPA)'!$C$6*'Rates - Single'!$E$100/'Rates - Single'!$E$153</f>
        <v>50487.985367634297</v>
      </c>
      <c r="L68" s="1370">
        <f>-F113*'EmissRates(EPA)'!$H$6*'Rates - Single'!$E$100/'Rates - Single'!$E$153</f>
        <v>71066.258186578343</v>
      </c>
      <c r="M68" s="1371" t="s">
        <v>643</v>
      </c>
      <c r="N68" s="1371" t="s">
        <v>643</v>
      </c>
      <c r="O68" s="1370">
        <f>-F113*'EmissRates(EPA)'!$H$7*'Rates - Single'!$E$101/'Rates - Single'!$E$153</f>
        <v>105922.26525340442</v>
      </c>
      <c r="P68" s="1345"/>
      <c r="Q68" s="1345"/>
      <c r="R68" s="1345"/>
    </row>
    <row r="69" spans="2:18" ht="15" customHeight="1" x14ac:dyDescent="0.25">
      <c r="B69" s="1357">
        <v>16</v>
      </c>
      <c r="C69" s="1358">
        <v>2036</v>
      </c>
      <c r="D69" s="1370">
        <f>-D114*'VOC '!$I$38*'EmissRates(EPA)'!$E$13*'Rates - Single'!$E125/'Rates - Single'!$E$152</f>
        <v>16163.505125489659</v>
      </c>
      <c r="E69" s="1370">
        <f>-E114*'VOC '!$I$38*'EmissRates(EPA)'!$E$13*'Rates - Single'!$E125/'Rates - Single'!$E$152</f>
        <v>100871.59823482226</v>
      </c>
      <c r="F69" s="1370">
        <f>-F114*'VOC '!$I$39*'EmissRates(EPA)'!$E$14*'Rates - Single'!$E125/'Rates - Single'!$E$152</f>
        <v>44237.194371242345</v>
      </c>
      <c r="G69" s="1370">
        <f>-D114*'EmissRates(EPA)'!$C$3*'Rates - Single'!$E$98/'Rates - Single'!$E$153</f>
        <v>1616.6277619391344</v>
      </c>
      <c r="H69" s="1370">
        <f>-E114*'EmissRates(EPA)'!$C$3*'Rates - Single'!$E$98/'Rates - Single'!$E$153</f>
        <v>10088.890053953821</v>
      </c>
      <c r="I69" s="1370">
        <f>-F114*'EmissRates(EPA)'!$H$3*'Rates - Single'!$E$98/'Rates - Single'!$E$153</f>
        <v>1903.6153371602986</v>
      </c>
      <c r="J69" s="1370">
        <f>-D114*'EmissRates(EPA)'!$C$6*'Rates - Single'!$E$100/'Rates - Single'!$E$153</f>
        <v>8345.4385962001998</v>
      </c>
      <c r="K69" s="1370">
        <f>-E114*'EmissRates(EPA)'!$C$6*'Rates - Single'!$E$100/'Rates - Single'!$E$153</f>
        <v>52081.384738867622</v>
      </c>
      <c r="L69" s="1370">
        <f>-F114*'EmissRates(EPA)'!$H$6*'Rates - Single'!$E$100/'Rates - Single'!$E$153</f>
        <v>73300.451386276385</v>
      </c>
      <c r="M69" s="1371" t="s">
        <v>643</v>
      </c>
      <c r="N69" s="1371" t="s">
        <v>643</v>
      </c>
      <c r="O69" s="1370">
        <f>-F114*'EmissRates(EPA)'!$H$7*'Rates - Single'!$E$101/'Rates - Single'!$E$153</f>
        <v>109252.26757468127</v>
      </c>
      <c r="P69" s="1345"/>
      <c r="Q69" s="1345"/>
      <c r="R69" s="1345"/>
    </row>
    <row r="70" spans="2:18" ht="15" customHeight="1" x14ac:dyDescent="0.25">
      <c r="B70" s="1357">
        <v>17</v>
      </c>
      <c r="C70" s="1358">
        <v>2037</v>
      </c>
      <c r="D70" s="1370">
        <f>-D115*'VOC '!$I$38*'EmissRates(EPA)'!$E$13*'Rates - Single'!$E126/'Rates - Single'!$E$152</f>
        <v>16922.431054896526</v>
      </c>
      <c r="E70" s="1370">
        <f>-E115*'VOC '!$I$38*'EmissRates(EPA)'!$E$13*'Rates - Single'!$E126/'Rates - Single'!$E$152</f>
        <v>105607.82783643223</v>
      </c>
      <c r="F70" s="1370">
        <f>-F115*'VOC '!$I$39*'EmissRates(EPA)'!$E$14*'Rates - Single'!$E126/'Rates - Single'!$E$152</f>
        <v>46309.121325273736</v>
      </c>
      <c r="G70" s="1370">
        <f>-D115*'EmissRates(EPA)'!$C$3*'Rates - Single'!$E$98/'Rates - Single'!$E$153</f>
        <v>1666.087538638769</v>
      </c>
      <c r="H70" s="1370">
        <f>-E115*'EmissRates(EPA)'!$C$3*'Rates - Single'!$E$98/'Rates - Single'!$E$153</f>
        <v>10397.553718505262</v>
      </c>
      <c r="I70" s="1370">
        <f>-F115*'EmissRates(EPA)'!$H$3*'Rates - Single'!$E$98/'Rates - Single'!$E$153</f>
        <v>1961.6374142510906</v>
      </c>
      <c r="J70" s="1370">
        <f>-D115*'EmissRates(EPA)'!$C$6*'Rates - Single'!$E$100/'Rates - Single'!$E$153</f>
        <v>8600.7623875802692</v>
      </c>
      <c r="K70" s="1370">
        <f>-E115*'EmissRates(EPA)'!$C$6*'Rates - Single'!$E$100/'Rates - Single'!$E$153</f>
        <v>53674.784110100954</v>
      </c>
      <c r="L70" s="1370">
        <f>-F115*'EmissRates(EPA)'!$H$6*'Rates - Single'!$E$100/'Rates - Single'!$E$153</f>
        <v>75534.644585974398</v>
      </c>
      <c r="M70" s="1371" t="s">
        <v>643</v>
      </c>
      <c r="N70" s="1371" t="s">
        <v>643</v>
      </c>
      <c r="O70" s="1370">
        <f>-F115*'EmissRates(EPA)'!$H$7*'Rates - Single'!$E$101/'Rates - Single'!$E$153</f>
        <v>112582.26989595813</v>
      </c>
      <c r="P70" s="1345"/>
      <c r="Q70" s="1345"/>
      <c r="R70" s="1345"/>
    </row>
    <row r="71" spans="2:18" ht="15" customHeight="1" x14ac:dyDescent="0.25">
      <c r="B71" s="1357">
        <v>18</v>
      </c>
      <c r="C71" s="1358">
        <v>2038</v>
      </c>
      <c r="D71" s="1370">
        <f>-D116*'VOC '!$I$38*'EmissRates(EPA)'!$E$13*'Rates - Single'!$E127/'Rates - Single'!$E$152</f>
        <v>17697.055807927965</v>
      </c>
      <c r="E71" s="1370">
        <f>-E116*'VOC '!$I$38*'EmissRates(EPA)'!$E$13*'Rates - Single'!$E127/'Rates - Single'!$E$152</f>
        <v>110442.02909809508</v>
      </c>
      <c r="F71" s="1370">
        <f>-F116*'VOC '!$I$39*'EmissRates(EPA)'!$E$14*'Rates - Single'!$E127/'Rates - Single'!$E$152</f>
        <v>48423.852943855098</v>
      </c>
      <c r="G71" s="1370">
        <f>-D116*'EmissRates(EPA)'!$C$3*'Rates - Single'!$E$98/'Rates - Single'!$E$153</f>
        <v>1715.5473153384039</v>
      </c>
      <c r="H71" s="1370">
        <f>-E116*'EmissRates(EPA)'!$C$3*'Rates - Single'!$E$98/'Rates - Single'!$E$153</f>
        <v>10706.217383056699</v>
      </c>
      <c r="I71" s="1370">
        <f>-F116*'EmissRates(EPA)'!$H$3*'Rates - Single'!$E$98/'Rates - Single'!$E$153</f>
        <v>2019.6594913418833</v>
      </c>
      <c r="J71" s="1370">
        <f>-D116*'EmissRates(EPA)'!$C$6*'Rates - Single'!$E$100/'Rates - Single'!$E$153</f>
        <v>8856.0861789603387</v>
      </c>
      <c r="K71" s="1370">
        <f>-E116*'EmissRates(EPA)'!$C$6*'Rates - Single'!$E$100/'Rates - Single'!$E$153</f>
        <v>55268.183481334279</v>
      </c>
      <c r="L71" s="1370">
        <f>-F116*'EmissRates(EPA)'!$H$6*'Rates - Single'!$E$100/'Rates - Single'!$E$153</f>
        <v>77768.837785672455</v>
      </c>
      <c r="M71" s="1371" t="s">
        <v>643</v>
      </c>
      <c r="N71" s="1371" t="s">
        <v>643</v>
      </c>
      <c r="O71" s="1370">
        <f>-F116*'EmissRates(EPA)'!$H$7*'Rates - Single'!$E$101/'Rates - Single'!$E$153</f>
        <v>115912.27221723502</v>
      </c>
      <c r="P71" s="1345"/>
      <c r="Q71" s="1345"/>
      <c r="R71" s="1345"/>
    </row>
    <row r="72" spans="2:18" ht="15" customHeight="1" x14ac:dyDescent="0.25">
      <c r="B72" s="1357">
        <v>19</v>
      </c>
      <c r="C72" s="1358">
        <v>2039</v>
      </c>
      <c r="D72" s="1370">
        <f>-D117*'VOC '!$I$38*'EmissRates(EPA)'!$E$13*'Rates - Single'!$E128/'Rates - Single'!$E$152</f>
        <v>18767.491193441314</v>
      </c>
      <c r="E72" s="1370">
        <f>-E117*'VOC '!$I$38*'EmissRates(EPA)'!$E$13*'Rates - Single'!$E128/'Rates - Single'!$E$152</f>
        <v>117122.29598980793</v>
      </c>
      <c r="F72" s="1370">
        <f>-F117*'VOC '!$I$39*'EmissRates(EPA)'!$E$14*'Rates - Single'!$E128/'Rates - Single'!$E$152</f>
        <v>51347.773912243785</v>
      </c>
      <c r="G72" s="1370">
        <f>-D117*'EmissRates(EPA)'!$C$3*'Rates - Single'!$E$98/'Rates - Single'!$E$153</f>
        <v>1765.0070920380383</v>
      </c>
      <c r="H72" s="1370">
        <f>-E117*'EmissRates(EPA)'!$C$3*'Rates - Single'!$E$98/'Rates - Single'!$E$153</f>
        <v>11014.881047608136</v>
      </c>
      <c r="I72" s="1370">
        <f>-F117*'EmissRates(EPA)'!$H$3*'Rates - Single'!$E$98/'Rates - Single'!$E$153</f>
        <v>2077.6815684326757</v>
      </c>
      <c r="J72" s="1370">
        <f>-D117*'EmissRates(EPA)'!$C$6*'Rates - Single'!$E$100/'Rates - Single'!$E$153</f>
        <v>9111.4099703404063</v>
      </c>
      <c r="K72" s="1370">
        <f>-E117*'EmissRates(EPA)'!$C$6*'Rates - Single'!$E$100/'Rates - Single'!$E$153</f>
        <v>56861.582852567604</v>
      </c>
      <c r="L72" s="1370">
        <f>-F117*'EmissRates(EPA)'!$H$6*'Rates - Single'!$E$100/'Rates - Single'!$E$153</f>
        <v>80003.030985370453</v>
      </c>
      <c r="M72" s="1371" t="s">
        <v>643</v>
      </c>
      <c r="N72" s="1371" t="s">
        <v>643</v>
      </c>
      <c r="O72" s="1370">
        <f>-F117*'EmissRates(EPA)'!$H$7*'Rates - Single'!$E$101/'Rates - Single'!$E$153</f>
        <v>119242.27453851186</v>
      </c>
      <c r="P72" s="1345"/>
      <c r="Q72" s="1345"/>
      <c r="R72" s="1345"/>
    </row>
    <row r="73" spans="2:18" ht="15" customHeight="1" x14ac:dyDescent="0.25">
      <c r="B73" s="1357">
        <v>20</v>
      </c>
      <c r="C73" s="1358">
        <v>2040</v>
      </c>
      <c r="D73" s="1370">
        <f>-D118*'VOC '!$I$38*'EmissRates(EPA)'!$E$13*'Rates - Single'!$E129/'Rates - Single'!$E$152</f>
        <v>19581.363005534182</v>
      </c>
      <c r="E73" s="1370">
        <f>-E118*'VOC '!$I$38*'EmissRates(EPA)'!$E$13*'Rates - Single'!$E129/'Rates - Single'!$E$152</f>
        <v>122201.42640160289</v>
      </c>
      <c r="F73" s="1370">
        <f>-F118*'VOC '!$I$39*'EmissRates(EPA)'!$E$14*'Rates - Single'!$E129/'Rates - Single'!$E$152</f>
        <v>53569.51719220003</v>
      </c>
      <c r="G73" s="1370">
        <f>-D118*'EmissRates(EPA)'!$C$3*'Rates - Single'!$E$98/'Rates - Single'!$E$153</f>
        <v>1814.4668687376723</v>
      </c>
      <c r="H73" s="1370">
        <f>-E118*'EmissRates(EPA)'!$C$3*'Rates - Single'!$E$98/'Rates - Single'!$E$153</f>
        <v>11323.544712159566</v>
      </c>
      <c r="I73" s="1370">
        <f>-F118*'EmissRates(EPA)'!$H$3*'Rates - Single'!$E$98/'Rates - Single'!$E$153</f>
        <v>2135.703645523467</v>
      </c>
      <c r="J73" s="1370">
        <f>-D118*'EmissRates(EPA)'!$C$6*'Rates - Single'!$E$100/'Rates - Single'!$E$153</f>
        <v>9366.7337617204703</v>
      </c>
      <c r="K73" s="1370">
        <f>-E118*'EmissRates(EPA)'!$C$6*'Rates - Single'!$E$100/'Rates - Single'!$E$153</f>
        <v>58454.982223800907</v>
      </c>
      <c r="L73" s="1370">
        <f>-F118*'EmissRates(EPA)'!$H$6*'Rates - Single'!$E$100/'Rates - Single'!$E$153</f>
        <v>82237.224185068451</v>
      </c>
      <c r="M73" s="1371" t="s">
        <v>643</v>
      </c>
      <c r="N73" s="1371" t="s">
        <v>643</v>
      </c>
      <c r="O73" s="1370">
        <f>-F118*'EmissRates(EPA)'!$H$7*'Rates - Single'!$E$101/'Rates - Single'!$E$153</f>
        <v>122572.27685978869</v>
      </c>
      <c r="P73" s="1345"/>
      <c r="Q73" s="1345"/>
      <c r="R73" s="1345"/>
    </row>
    <row r="74" spans="2:18" ht="15" customHeight="1" x14ac:dyDescent="0.25">
      <c r="B74" s="1357">
        <v>21</v>
      </c>
      <c r="C74" s="1358">
        <v>2041</v>
      </c>
      <c r="D74" s="1370">
        <f>-D119*'VOC '!$I$38*'EmissRates(EPA)'!$E$13*'Rates - Single'!$E130/'Rates - Single'!$E$152</f>
        <v>19869.324226203804</v>
      </c>
      <c r="E74" s="1370">
        <f>-E119*'VOC '!$I$38*'EmissRates(EPA)'!$E$13*'Rates - Single'!$E130/'Rates - Single'!$E$152</f>
        <v>123998.50620162647</v>
      </c>
      <c r="F74" s="1370">
        <f>-F119*'VOC '!$I$39*'EmissRates(EPA)'!$E$14*'Rates - Single'!$E130/'Rates - Single'!$E$152</f>
        <v>54357.304209732385</v>
      </c>
      <c r="G74" s="1370">
        <f>-D119*'EmissRates(EPA)'!$C$3*'Rates - Single'!$E$98/'Rates - Single'!$E$153</f>
        <v>1814.4668687376723</v>
      </c>
      <c r="H74" s="1370">
        <f>-E119*'EmissRates(EPA)'!$C$3*'Rates - Single'!$E$98/'Rates - Single'!$E$153</f>
        <v>11323.544712159566</v>
      </c>
      <c r="I74" s="1370">
        <f>-F119*'EmissRates(EPA)'!$H$3*'Rates - Single'!$E$98/'Rates - Single'!$E$153</f>
        <v>2135.703645523467</v>
      </c>
      <c r="J74" s="1370">
        <f>-D119*'EmissRates(EPA)'!$C$6*'Rates - Single'!$E$100/'Rates - Single'!$E$153</f>
        <v>9366.7337617204703</v>
      </c>
      <c r="K74" s="1370">
        <f>-E119*'EmissRates(EPA)'!$C$6*'Rates - Single'!$E$100/'Rates - Single'!$E$153</f>
        <v>58454.982223800907</v>
      </c>
      <c r="L74" s="1370">
        <f>-F119*'EmissRates(EPA)'!$H$6*'Rates - Single'!$E$100/'Rates - Single'!$E$153</f>
        <v>82237.224185068451</v>
      </c>
      <c r="M74" s="1371" t="s">
        <v>643</v>
      </c>
      <c r="N74" s="1371" t="s">
        <v>643</v>
      </c>
      <c r="O74" s="1370">
        <f>-F119*'EmissRates(EPA)'!$H$7*'Rates - Single'!$E$101/'Rates - Single'!$E$153</f>
        <v>122572.27685978869</v>
      </c>
      <c r="P74" s="1345"/>
      <c r="Q74" s="1345"/>
      <c r="R74" s="1345"/>
    </row>
    <row r="75" spans="2:18" ht="15" customHeight="1" x14ac:dyDescent="0.25">
      <c r="B75" s="1357">
        <v>22</v>
      </c>
      <c r="C75" s="1358">
        <v>2042</v>
      </c>
      <c r="D75" s="1370">
        <f>-D120*'VOC '!$I$38*'EmissRates(EPA)'!$E$13*'Rates - Single'!$E131/'Rates - Single'!$E$152</f>
        <v>19869.324226203804</v>
      </c>
      <c r="E75" s="1370">
        <f>-E120*'VOC '!$I$38*'EmissRates(EPA)'!$E$13*'Rates - Single'!$E131/'Rates - Single'!$E$152</f>
        <v>123998.50620162647</v>
      </c>
      <c r="F75" s="1370">
        <f>-F120*'VOC '!$I$39*'EmissRates(EPA)'!$E$14*'Rates - Single'!$E131/'Rates - Single'!$E$152</f>
        <v>54357.304209732385</v>
      </c>
      <c r="G75" s="1370">
        <f>-D120*'EmissRates(EPA)'!$C$3*'Rates - Single'!$E$98/'Rates - Single'!$E$153</f>
        <v>1814.4668687376723</v>
      </c>
      <c r="H75" s="1370">
        <f>-E120*'EmissRates(EPA)'!$C$3*'Rates - Single'!$E$98/'Rates - Single'!$E$153</f>
        <v>11323.544712159566</v>
      </c>
      <c r="I75" s="1370">
        <f>-F120*'EmissRates(EPA)'!$H$3*'Rates - Single'!$E$98/'Rates - Single'!$E$153</f>
        <v>2135.703645523467</v>
      </c>
      <c r="J75" s="1370">
        <f>-D120*'EmissRates(EPA)'!$C$6*'Rates - Single'!$E$100/'Rates - Single'!$E$153</f>
        <v>9366.7337617204703</v>
      </c>
      <c r="K75" s="1370">
        <f>-E120*'EmissRates(EPA)'!$C$6*'Rates - Single'!$E$100/'Rates - Single'!$E$153</f>
        <v>58454.982223800907</v>
      </c>
      <c r="L75" s="1370">
        <f>-F120*'EmissRates(EPA)'!$H$6*'Rates - Single'!$E$100/'Rates - Single'!$E$153</f>
        <v>82237.224185068451</v>
      </c>
      <c r="M75" s="1371" t="s">
        <v>643</v>
      </c>
      <c r="N75" s="1371" t="s">
        <v>643</v>
      </c>
      <c r="O75" s="1370">
        <f>-F120*'EmissRates(EPA)'!$H$7*'Rates - Single'!$E$101/'Rates - Single'!$E$153</f>
        <v>122572.27685978869</v>
      </c>
      <c r="P75" s="1345"/>
      <c r="Q75" s="1345"/>
      <c r="R75" s="1345"/>
    </row>
    <row r="76" spans="2:18" ht="15" customHeight="1" x14ac:dyDescent="0.25">
      <c r="B76" s="1357">
        <v>23</v>
      </c>
      <c r="C76" s="1358">
        <v>2043</v>
      </c>
      <c r="D76" s="1370">
        <f>-D121*'VOC '!$I$38*'EmissRates(EPA)'!$E$13*'Rates - Single'!$E132/'Rates - Single'!$E$152</f>
        <v>20157.285446873426</v>
      </c>
      <c r="E76" s="1370">
        <f>-E121*'VOC '!$I$38*'EmissRates(EPA)'!$E$13*'Rates - Single'!$E132/'Rates - Single'!$E$152</f>
        <v>125795.58600165004</v>
      </c>
      <c r="F76" s="1370">
        <f>-F121*'VOC '!$I$39*'EmissRates(EPA)'!$E$14*'Rates - Single'!$E132/'Rates - Single'!$E$152</f>
        <v>55145.09122726474</v>
      </c>
      <c r="G76" s="1370">
        <f>-D121*'EmissRates(EPA)'!$C$3*'Rates - Single'!$E$98/'Rates - Single'!$E$153</f>
        <v>1814.4668687376723</v>
      </c>
      <c r="H76" s="1370">
        <f>-E121*'EmissRates(EPA)'!$C$3*'Rates - Single'!$E$98/'Rates - Single'!$E$153</f>
        <v>11323.544712159566</v>
      </c>
      <c r="I76" s="1370">
        <f>-F121*'EmissRates(EPA)'!$H$3*'Rates - Single'!$E$98/'Rates - Single'!$E$153</f>
        <v>2135.703645523467</v>
      </c>
      <c r="J76" s="1370">
        <f>-D121*'EmissRates(EPA)'!$C$6*'Rates - Single'!$E$100/'Rates - Single'!$E$153</f>
        <v>9366.7337617204703</v>
      </c>
      <c r="K76" s="1370">
        <f>-E121*'EmissRates(EPA)'!$C$6*'Rates - Single'!$E$100/'Rates - Single'!$E$153</f>
        <v>58454.982223800907</v>
      </c>
      <c r="L76" s="1370">
        <f>-F121*'EmissRates(EPA)'!$H$6*'Rates - Single'!$E$100/'Rates - Single'!$E$153</f>
        <v>82237.224185068451</v>
      </c>
      <c r="M76" s="1371" t="s">
        <v>643</v>
      </c>
      <c r="N76" s="1371" t="s">
        <v>643</v>
      </c>
      <c r="O76" s="1370">
        <f>-F121*'EmissRates(EPA)'!$H$7*'Rates - Single'!$E$101/'Rates - Single'!$E$153</f>
        <v>122572.27685978869</v>
      </c>
      <c r="P76" s="1345"/>
      <c r="Q76" s="1345"/>
      <c r="R76" s="1345"/>
    </row>
    <row r="77" spans="2:18" ht="15" customHeight="1" x14ac:dyDescent="0.25">
      <c r="B77" s="1357">
        <v>24</v>
      </c>
      <c r="C77" s="1358">
        <v>2044</v>
      </c>
      <c r="D77" s="1370">
        <f>-D122*'VOC '!$I$38*'EmissRates(EPA)'!$E$13*'Rates - Single'!$E133/'Rates - Single'!$E$152</f>
        <v>20445.246667543044</v>
      </c>
      <c r="E77" s="1370">
        <f>-E122*'VOC '!$I$38*'EmissRates(EPA)'!$E$13*'Rates - Single'!$E133/'Rates - Single'!$E$152</f>
        <v>127592.66580167362</v>
      </c>
      <c r="F77" s="1370">
        <f>-F122*'VOC '!$I$39*'EmissRates(EPA)'!$E$14*'Rates - Single'!$E133/'Rates - Single'!$E$152</f>
        <v>55932.878244797088</v>
      </c>
      <c r="G77" s="1370">
        <f>-D122*'EmissRates(EPA)'!$C$3*'Rates - Single'!$E$98/'Rates - Single'!$E$153</f>
        <v>1814.4668687376723</v>
      </c>
      <c r="H77" s="1370">
        <f>-E122*'EmissRates(EPA)'!$C$3*'Rates - Single'!$E$98/'Rates - Single'!$E$153</f>
        <v>11323.544712159566</v>
      </c>
      <c r="I77" s="1370">
        <f>-F122*'EmissRates(EPA)'!$H$3*'Rates - Single'!$E$98/'Rates - Single'!$E$153</f>
        <v>2135.703645523467</v>
      </c>
      <c r="J77" s="1370">
        <f>-D122*'EmissRates(EPA)'!$C$6*'Rates - Single'!$E$100/'Rates - Single'!$E$153</f>
        <v>9366.7337617204703</v>
      </c>
      <c r="K77" s="1370">
        <f>-E122*'EmissRates(EPA)'!$C$6*'Rates - Single'!$E$100/'Rates - Single'!$E$153</f>
        <v>58454.982223800907</v>
      </c>
      <c r="L77" s="1370">
        <f>-F122*'EmissRates(EPA)'!$H$6*'Rates - Single'!$E$100/'Rates - Single'!$E$153</f>
        <v>82237.224185068451</v>
      </c>
      <c r="M77" s="1371" t="s">
        <v>643</v>
      </c>
      <c r="N77" s="1371" t="s">
        <v>643</v>
      </c>
      <c r="O77" s="1370">
        <f>-F122*'EmissRates(EPA)'!$H$7*'Rates - Single'!$E$101/'Rates - Single'!$E$153</f>
        <v>122572.27685978869</v>
      </c>
      <c r="P77" s="1345"/>
      <c r="Q77" s="1345"/>
      <c r="R77" s="1345"/>
    </row>
    <row r="78" spans="2:18" ht="15" customHeight="1" x14ac:dyDescent="0.25">
      <c r="B78" s="1357">
        <v>25</v>
      </c>
      <c r="C78" s="1358">
        <v>2045</v>
      </c>
      <c r="D78" s="1370">
        <f>-D123*'VOC '!$I$38*'EmissRates(EPA)'!$E$13*'Rates - Single'!$E134/'Rates - Single'!$E$152</f>
        <v>20733.207888212666</v>
      </c>
      <c r="E78" s="1370">
        <f>-E123*'VOC '!$I$38*'EmissRates(EPA)'!$E$13*'Rates - Single'!$E134/'Rates - Single'!$E$152</f>
        <v>129389.74560169717</v>
      </c>
      <c r="F78" s="1370">
        <f>-F123*'VOC '!$I$39*'EmissRates(EPA)'!$E$14*'Rates - Single'!$E134/'Rates - Single'!$E$152</f>
        <v>56720.665262329443</v>
      </c>
      <c r="G78" s="1370">
        <f>-D123*'EmissRates(EPA)'!$C$3*'Rates - Single'!$E$98/'Rates - Single'!$E$153</f>
        <v>1814.4668687376723</v>
      </c>
      <c r="H78" s="1370">
        <f>-E123*'EmissRates(EPA)'!$C$3*'Rates - Single'!$E$98/'Rates - Single'!$E$153</f>
        <v>11323.544712159566</v>
      </c>
      <c r="I78" s="1370">
        <f>-F123*'EmissRates(EPA)'!$H$3*'Rates - Single'!$E$98/'Rates - Single'!$E$153</f>
        <v>2135.703645523467</v>
      </c>
      <c r="J78" s="1370">
        <f>-D123*'EmissRates(EPA)'!$C$6*'Rates - Single'!$E$100/'Rates - Single'!$E$153</f>
        <v>9366.7337617204703</v>
      </c>
      <c r="K78" s="1370">
        <f>-E123*'EmissRates(EPA)'!$C$6*'Rates - Single'!$E$100/'Rates - Single'!$E$153</f>
        <v>58454.982223800907</v>
      </c>
      <c r="L78" s="1370">
        <f>-F123*'EmissRates(EPA)'!$H$6*'Rates - Single'!$E$100/'Rates - Single'!$E$153</f>
        <v>82237.224185068451</v>
      </c>
      <c r="M78" s="1371" t="s">
        <v>643</v>
      </c>
      <c r="N78" s="1371" t="s">
        <v>643</v>
      </c>
      <c r="O78" s="1370">
        <f>-F123*'EmissRates(EPA)'!$H$7*'Rates - Single'!$E$101/'Rates - Single'!$E$153</f>
        <v>122572.27685978869</v>
      </c>
      <c r="P78" s="1345"/>
      <c r="Q78" s="1345"/>
      <c r="R78" s="1345"/>
    </row>
    <row r="79" spans="2:18" ht="15" customHeight="1" x14ac:dyDescent="0.25">
      <c r="B79" s="1357">
        <v>26</v>
      </c>
      <c r="C79" s="1358">
        <v>2046</v>
      </c>
      <c r="D79" s="1370">
        <f>-D124*'VOC '!$I$38*'EmissRates(EPA)'!$E$13*'Rates - Single'!$E135/'Rates - Single'!$E$152</f>
        <v>21021.169108882284</v>
      </c>
      <c r="E79" s="1370">
        <f>-E124*'VOC '!$I$38*'EmissRates(EPA)'!$E$13*'Rates - Single'!$E135/'Rates - Single'!$E$152</f>
        <v>131186.82540172074</v>
      </c>
      <c r="F79" s="1370">
        <f>-F124*'VOC '!$I$39*'EmissRates(EPA)'!$E$14*'Rates - Single'!$E135/'Rates - Single'!$E$152</f>
        <v>57508.452279861798</v>
      </c>
      <c r="G79" s="1370">
        <f>-D124*'EmissRates(EPA)'!$C$3*'Rates - Single'!$E$98/'Rates - Single'!$E$153</f>
        <v>1814.4668687376723</v>
      </c>
      <c r="H79" s="1370">
        <f>-E124*'EmissRates(EPA)'!$C$3*'Rates - Single'!$E$98/'Rates - Single'!$E$153</f>
        <v>11323.544712159566</v>
      </c>
      <c r="I79" s="1370">
        <f>-F124*'EmissRates(EPA)'!$H$3*'Rates - Single'!$E$98/'Rates - Single'!$E$153</f>
        <v>2135.703645523467</v>
      </c>
      <c r="J79" s="1370">
        <f>-D124*'EmissRates(EPA)'!$C$6*'Rates - Single'!$E$100/'Rates - Single'!$E$153</f>
        <v>9366.7337617204703</v>
      </c>
      <c r="K79" s="1370">
        <f>-E124*'EmissRates(EPA)'!$C$6*'Rates - Single'!$E$100/'Rates - Single'!$E$153</f>
        <v>58454.982223800907</v>
      </c>
      <c r="L79" s="1370">
        <f>-F124*'EmissRates(EPA)'!$H$6*'Rates - Single'!$E$100/'Rates - Single'!$E$153</f>
        <v>82237.224185068451</v>
      </c>
      <c r="M79" s="1371" t="s">
        <v>643</v>
      </c>
      <c r="N79" s="1371" t="s">
        <v>643</v>
      </c>
      <c r="O79" s="1370">
        <f>-F124*'EmissRates(EPA)'!$H$7*'Rates - Single'!$E$101/'Rates - Single'!$E$153</f>
        <v>122572.27685978869</v>
      </c>
      <c r="P79" s="1345"/>
      <c r="Q79" s="1345"/>
      <c r="R79" s="1345"/>
    </row>
    <row r="80" spans="2:18" ht="15" customHeight="1" x14ac:dyDescent="0.25">
      <c r="B80" s="1357">
        <v>27</v>
      </c>
      <c r="C80" s="1358">
        <v>2047</v>
      </c>
      <c r="D80" s="1370">
        <f>-D125*'VOC '!$I$38*'EmissRates(EPA)'!$E$13*'Rates - Single'!$E136/'Rates - Single'!$E$152</f>
        <v>21597.091550221525</v>
      </c>
      <c r="E80" s="1370">
        <f>-E125*'VOC '!$I$38*'EmissRates(EPA)'!$E$13*'Rates - Single'!$E136/'Rates - Single'!$E$152</f>
        <v>134780.9850017679</v>
      </c>
      <c r="F80" s="1370">
        <f>-F125*'VOC '!$I$39*'EmissRates(EPA)'!$E$14*'Rates - Single'!$E136/'Rates - Single'!$E$152</f>
        <v>59084.026314926508</v>
      </c>
      <c r="G80" s="1370">
        <f>-D125*'EmissRates(EPA)'!$C$3*'Rates - Single'!$E$98/'Rates - Single'!$E$153</f>
        <v>1814.4668687376723</v>
      </c>
      <c r="H80" s="1370">
        <f>-E125*'EmissRates(EPA)'!$C$3*'Rates - Single'!$E$98/'Rates - Single'!$E$153</f>
        <v>11323.544712159566</v>
      </c>
      <c r="I80" s="1370">
        <f>-F125*'EmissRates(EPA)'!$H$3*'Rates - Single'!$E$98/'Rates - Single'!$E$153</f>
        <v>2135.703645523467</v>
      </c>
      <c r="J80" s="1370">
        <f>-D125*'EmissRates(EPA)'!$C$6*'Rates - Single'!$E$100/'Rates - Single'!$E$153</f>
        <v>9366.7337617204703</v>
      </c>
      <c r="K80" s="1370">
        <f>-E125*'EmissRates(EPA)'!$C$6*'Rates - Single'!$E$100/'Rates - Single'!$E$153</f>
        <v>58454.982223800907</v>
      </c>
      <c r="L80" s="1370">
        <f>-F125*'EmissRates(EPA)'!$H$6*'Rates - Single'!$E$100/'Rates - Single'!$E$153</f>
        <v>82237.224185068451</v>
      </c>
      <c r="M80" s="1371" t="s">
        <v>643</v>
      </c>
      <c r="N80" s="1371" t="s">
        <v>643</v>
      </c>
      <c r="O80" s="1370">
        <f>-F125*'EmissRates(EPA)'!$H$7*'Rates - Single'!$E$101/'Rates - Single'!$E$153</f>
        <v>122572.27685978869</v>
      </c>
      <c r="P80" s="1345"/>
      <c r="Q80" s="1345"/>
      <c r="R80" s="1345"/>
    </row>
    <row r="81" spans="2:21" ht="15" customHeight="1" x14ac:dyDescent="0.25">
      <c r="B81" s="1357">
        <v>28</v>
      </c>
      <c r="C81" s="1358">
        <v>2048</v>
      </c>
      <c r="D81" s="1370">
        <f>-D126*'VOC '!$I$38*'EmissRates(EPA)'!$E$13*'Rates - Single'!$E137/'Rates - Single'!$E$152</f>
        <v>21885.052770891143</v>
      </c>
      <c r="E81" s="1370">
        <f>-E126*'VOC '!$I$38*'EmissRates(EPA)'!$E$13*'Rates - Single'!$E137/'Rates - Single'!$E$152</f>
        <v>136578.06480179148</v>
      </c>
      <c r="F81" s="1370">
        <f>-F126*'VOC '!$I$39*'EmissRates(EPA)'!$E$14*'Rates - Single'!$E137/'Rates - Single'!$E$152</f>
        <v>59871.813332458863</v>
      </c>
      <c r="G81" s="1370">
        <f>-D126*'EmissRates(EPA)'!$C$3*'Rates - Single'!$E$98/'Rates - Single'!$E$153</f>
        <v>1814.4668687376723</v>
      </c>
      <c r="H81" s="1370">
        <f>-E126*'EmissRates(EPA)'!$C$3*'Rates - Single'!$E$98/'Rates - Single'!$E$153</f>
        <v>11323.544712159566</v>
      </c>
      <c r="I81" s="1370">
        <f>-F126*'EmissRates(EPA)'!$H$3*'Rates - Single'!$E$98/'Rates - Single'!$E$153</f>
        <v>2135.703645523467</v>
      </c>
      <c r="J81" s="1370">
        <f>-D126*'EmissRates(EPA)'!$C$6*'Rates - Single'!$E$100/'Rates - Single'!$E$153</f>
        <v>9366.7337617204703</v>
      </c>
      <c r="K81" s="1370">
        <f>-E126*'EmissRates(EPA)'!$C$6*'Rates - Single'!$E$100/'Rates - Single'!$E$153</f>
        <v>58454.982223800907</v>
      </c>
      <c r="L81" s="1370">
        <f>-F126*'EmissRates(EPA)'!$H$6*'Rates - Single'!$E$100/'Rates - Single'!$E$153</f>
        <v>82237.224185068451</v>
      </c>
      <c r="M81" s="1371" t="s">
        <v>643</v>
      </c>
      <c r="N81" s="1371" t="s">
        <v>643</v>
      </c>
      <c r="O81" s="1370">
        <f>-F126*'EmissRates(EPA)'!$H$7*'Rates - Single'!$E$101/'Rates - Single'!$E$153</f>
        <v>122572.27685978869</v>
      </c>
      <c r="P81" s="1345"/>
      <c r="Q81" s="1345"/>
      <c r="R81" s="1345"/>
    </row>
    <row r="82" spans="2:21" ht="15" customHeight="1" x14ac:dyDescent="0.25">
      <c r="B82" s="1357">
        <v>29</v>
      </c>
      <c r="C82" s="1358">
        <v>2049</v>
      </c>
      <c r="D82" s="1370">
        <f>-D127*'VOC '!$I$38*'EmissRates(EPA)'!$E$13*'Rates - Single'!$E138/'Rates - Single'!$E$152</f>
        <v>22173.013991560765</v>
      </c>
      <c r="E82" s="1370">
        <f>-E127*'VOC '!$I$38*'EmissRates(EPA)'!$E$13*'Rates - Single'!$E138/'Rates - Single'!$E$152</f>
        <v>138375.14460181503</v>
      </c>
      <c r="F82" s="1370">
        <f>-F127*'VOC '!$I$39*'EmissRates(EPA)'!$E$14*'Rates - Single'!$E138/'Rates - Single'!$E$152</f>
        <v>60659.600349991211</v>
      </c>
      <c r="G82" s="1370">
        <f>-D127*'EmissRates(EPA)'!$C$3*'Rates - Single'!$E$98/'Rates - Single'!$E$153</f>
        <v>1814.4668687376723</v>
      </c>
      <c r="H82" s="1370">
        <f>-E127*'EmissRates(EPA)'!$C$3*'Rates - Single'!$E$98/'Rates - Single'!$E$153</f>
        <v>11323.544712159566</v>
      </c>
      <c r="I82" s="1370">
        <f>-F127*'EmissRates(EPA)'!$H$3*'Rates - Single'!$E$98/'Rates - Single'!$E$153</f>
        <v>2135.703645523467</v>
      </c>
      <c r="J82" s="1370">
        <f>-D127*'EmissRates(EPA)'!$C$6*'Rates - Single'!$E$100/'Rates - Single'!$E$153</f>
        <v>9366.7337617204703</v>
      </c>
      <c r="K82" s="1370">
        <f>-E127*'EmissRates(EPA)'!$C$6*'Rates - Single'!$E$100/'Rates - Single'!$E$153</f>
        <v>58454.982223800907</v>
      </c>
      <c r="L82" s="1370">
        <f>-F127*'EmissRates(EPA)'!$H$6*'Rates - Single'!$E$100/'Rates - Single'!$E$153</f>
        <v>82237.224185068451</v>
      </c>
      <c r="M82" s="1371" t="s">
        <v>643</v>
      </c>
      <c r="N82" s="1371" t="s">
        <v>643</v>
      </c>
      <c r="O82" s="1370">
        <f>-F127*'EmissRates(EPA)'!$H$7*'Rates - Single'!$E$101/'Rates - Single'!$E$153</f>
        <v>122572.27685978869</v>
      </c>
      <c r="P82" s="1345"/>
      <c r="Q82" s="1345"/>
      <c r="R82" s="1345"/>
    </row>
    <row r="83" spans="2:21" ht="15" customHeight="1" x14ac:dyDescent="0.25">
      <c r="B83" s="1357">
        <v>30</v>
      </c>
      <c r="C83" s="1358">
        <v>2050</v>
      </c>
      <c r="D83" s="1370">
        <f>-D128*'VOC '!$I$38*'EmissRates(EPA)'!$E$13*'Rates - Single'!$E139/'Rates - Single'!$E$152</f>
        <v>22460.975212230383</v>
      </c>
      <c r="E83" s="1370">
        <f>-E128*'VOC '!$I$38*'EmissRates(EPA)'!$E$13*'Rates - Single'!$E139/'Rates - Single'!$E$152</f>
        <v>140172.22440183861</v>
      </c>
      <c r="F83" s="1370">
        <f>-F128*'VOC '!$I$39*'EmissRates(EPA)'!$E$14*'Rates - Single'!$E139/'Rates - Single'!$E$152</f>
        <v>61447.387367523566</v>
      </c>
      <c r="G83" s="1370">
        <f>-D128*'EmissRates(EPA)'!$C$3*'Rates - Single'!$E$98/'Rates - Single'!$E$153</f>
        <v>1814.4668687376723</v>
      </c>
      <c r="H83" s="1370">
        <f>-E128*'EmissRates(EPA)'!$C$3*'Rates - Single'!$E$98/'Rates - Single'!$E$153</f>
        <v>11323.544712159566</v>
      </c>
      <c r="I83" s="1370">
        <f>-F128*'EmissRates(EPA)'!$H$3*'Rates - Single'!$E$98/'Rates - Single'!$E$153</f>
        <v>2135.703645523467</v>
      </c>
      <c r="J83" s="1370">
        <f>-D128*'EmissRates(EPA)'!$C$6*'Rates - Single'!$E$100/'Rates - Single'!$E$153</f>
        <v>9366.7337617204703</v>
      </c>
      <c r="K83" s="1370">
        <f>-E128*'EmissRates(EPA)'!$C$6*'Rates - Single'!$E$100/'Rates - Single'!$E$153</f>
        <v>58454.982223800907</v>
      </c>
      <c r="L83" s="1370">
        <f>-F128*'EmissRates(EPA)'!$H$6*'Rates - Single'!$E$100/'Rates - Single'!$E$153</f>
        <v>82237.224185068451</v>
      </c>
      <c r="M83" s="1371" t="s">
        <v>643</v>
      </c>
      <c r="N83" s="1371" t="s">
        <v>643</v>
      </c>
      <c r="O83" s="1370">
        <f>-F128*'EmissRates(EPA)'!$H$7*'Rates - Single'!$E$101/'Rates - Single'!$E$153</f>
        <v>122572.27685978869</v>
      </c>
      <c r="P83" s="1345"/>
      <c r="Q83" s="1345"/>
      <c r="R83" s="1345"/>
    </row>
    <row r="84" spans="2:21" ht="15" customHeight="1" x14ac:dyDescent="0.25">
      <c r="B84" s="1357">
        <v>31</v>
      </c>
      <c r="C84" s="1358">
        <v>2051</v>
      </c>
      <c r="D84" s="1370">
        <f>-D129*'VOC '!$I$38*'EmissRates(EPA)'!$E$13*'Rates - Single'!$E140/'Rates - Single'!$E$152</f>
        <v>22877.518519725589</v>
      </c>
      <c r="E84" s="1370">
        <f>-E129*'VOC '!$I$38*'EmissRates(EPA)'!$E$13*'Rates - Single'!$E140/'Rates - Single'!$E$152</f>
        <v>142771.74652497016</v>
      </c>
      <c r="F84" s="1370">
        <f>-F129*'VOC '!$I$39*'EmissRates(EPA)'!$E$14*'Rates - Single'!$E140/'Rates - Single'!$E$152</f>
        <v>62586.941537774823</v>
      </c>
      <c r="G84" s="1370">
        <f>-D129*'EmissRates(EPA)'!$C$3*'Rates - Single'!$E$98/'Rates - Single'!$E$153</f>
        <v>1814.4668687376723</v>
      </c>
      <c r="H84" s="1370">
        <f>-E129*'EmissRates(EPA)'!$C$3*'Rates - Single'!$E$98/'Rates - Single'!$E$153</f>
        <v>11323.544712159566</v>
      </c>
      <c r="I84" s="1370">
        <f>-F129*'EmissRates(EPA)'!$H$3*'Rates - Single'!$E$98/'Rates - Single'!$E$153</f>
        <v>2135.703645523467</v>
      </c>
      <c r="J84" s="1370">
        <f>-D129*'EmissRates(EPA)'!$C$6*'Rates - Single'!$E$100/'Rates - Single'!$E$153</f>
        <v>9366.7337617204703</v>
      </c>
      <c r="K84" s="1370">
        <f>-E129*'EmissRates(EPA)'!$C$6*'Rates - Single'!$E$100/'Rates - Single'!$E$153</f>
        <v>58454.982223800907</v>
      </c>
      <c r="L84" s="1370">
        <f>-F129*'EmissRates(EPA)'!$H$6*'Rates - Single'!$E$100/'Rates - Single'!$E$153</f>
        <v>82237.224185068451</v>
      </c>
      <c r="M84" s="1371" t="s">
        <v>643</v>
      </c>
      <c r="N84" s="1371" t="s">
        <v>643</v>
      </c>
      <c r="O84" s="1370">
        <f>-F129*'EmissRates(EPA)'!$H$7*'Rates - Single'!$E$101/'Rates - Single'!$E$153</f>
        <v>122572.27685978869</v>
      </c>
      <c r="P84" s="1345"/>
      <c r="Q84" s="1345"/>
      <c r="R84" s="1345"/>
    </row>
    <row r="85" spans="2:21" ht="15" customHeight="1" x14ac:dyDescent="0.25">
      <c r="B85" s="1357">
        <v>32</v>
      </c>
      <c r="C85" s="1358">
        <v>2052</v>
      </c>
      <c r="D85" s="1370">
        <f>-D130*'VOC '!$I$38*'EmissRates(EPA)'!$E$13*'Rates - Single'!$E141/'Rates - Single'!$E$152</f>
        <v>23301.786706723113</v>
      </c>
      <c r="E85" s="1370">
        <f>-E130*'VOC '!$I$38*'EmissRates(EPA)'!$E$13*'Rates - Single'!$E141/'Rates - Single'!$E$152</f>
        <v>145419.47730925039</v>
      </c>
      <c r="F85" s="1370">
        <f>-F130*'VOC '!$I$39*'EmissRates(EPA)'!$E$14*'Rates - Single'!$E141/'Rates - Single'!$E$152</f>
        <v>63747.628969545731</v>
      </c>
      <c r="G85" s="1370">
        <f>-D130*'EmissRates(EPA)'!$C$3*'Rates - Single'!$E$98/'Rates - Single'!$E$153</f>
        <v>1814.4668687376723</v>
      </c>
      <c r="H85" s="1370">
        <f>-E130*'EmissRates(EPA)'!$C$3*'Rates - Single'!$E$98/'Rates - Single'!$E$153</f>
        <v>11323.544712159566</v>
      </c>
      <c r="I85" s="1370">
        <f>-F130*'EmissRates(EPA)'!$H$3*'Rates - Single'!$E$98/'Rates - Single'!$E$153</f>
        <v>2135.703645523467</v>
      </c>
      <c r="J85" s="1370">
        <f>-D130*'EmissRates(EPA)'!$C$6*'Rates - Single'!$E$100/'Rates - Single'!$E$153</f>
        <v>9366.7337617204703</v>
      </c>
      <c r="K85" s="1370">
        <f>-E130*'EmissRates(EPA)'!$C$6*'Rates - Single'!$E$100/'Rates - Single'!$E$153</f>
        <v>58454.982223800907</v>
      </c>
      <c r="L85" s="1370">
        <f>-F130*'EmissRates(EPA)'!$H$6*'Rates - Single'!$E$100/'Rates - Single'!$E$153</f>
        <v>82237.224185068451</v>
      </c>
      <c r="M85" s="1371" t="s">
        <v>643</v>
      </c>
      <c r="N85" s="1371" t="s">
        <v>643</v>
      </c>
      <c r="O85" s="1370">
        <f>-F130*'EmissRates(EPA)'!$H$7*'Rates - Single'!$E$101/'Rates - Single'!$E$153</f>
        <v>122572.27685978869</v>
      </c>
      <c r="P85" s="1345"/>
      <c r="Q85" s="1345"/>
      <c r="R85" s="1345"/>
    </row>
    <row r="86" spans="2:21" ht="15" customHeight="1" x14ac:dyDescent="0.25">
      <c r="B86" s="1357">
        <v>33</v>
      </c>
      <c r="C86" s="1358">
        <v>2053</v>
      </c>
      <c r="D86" s="1370">
        <f>-D131*'VOC '!$I$38*'EmissRates(EPA)'!$E$13*'Rates - Single'!$E142/'Rates - Single'!$E$152</f>
        <v>23733.923032668612</v>
      </c>
      <c r="E86" s="1370">
        <f>-E131*'VOC '!$I$38*'EmissRates(EPA)'!$E$13*'Rates - Single'!$E142/'Rates - Single'!$E$152</f>
        <v>148116.31079400645</v>
      </c>
      <c r="F86" s="1370">
        <f>-F131*'VOC '!$I$39*'EmissRates(EPA)'!$E$14*'Rates - Single'!$E142/'Rates - Single'!$E$152</f>
        <v>64929.84158342603</v>
      </c>
      <c r="G86" s="1370">
        <f>-D131*'EmissRates(EPA)'!$C$3*'Rates - Single'!$E$98/'Rates - Single'!$E$153</f>
        <v>1814.4668687376723</v>
      </c>
      <c r="H86" s="1370">
        <f>-E131*'EmissRates(EPA)'!$C$3*'Rates - Single'!$E$98/'Rates - Single'!$E$153</f>
        <v>11323.544712159566</v>
      </c>
      <c r="I86" s="1370">
        <f>-F131*'EmissRates(EPA)'!$H$3*'Rates - Single'!$E$98/'Rates - Single'!$E$153</f>
        <v>2135.703645523467</v>
      </c>
      <c r="J86" s="1370">
        <f>-D131*'EmissRates(EPA)'!$C$6*'Rates - Single'!$E$100/'Rates - Single'!$E$153</f>
        <v>9366.7337617204703</v>
      </c>
      <c r="K86" s="1370">
        <f>-E131*'EmissRates(EPA)'!$C$6*'Rates - Single'!$E$100/'Rates - Single'!$E$153</f>
        <v>58454.982223800907</v>
      </c>
      <c r="L86" s="1370">
        <f>-F131*'EmissRates(EPA)'!$H$6*'Rates - Single'!$E$100/'Rates - Single'!$E$153</f>
        <v>82237.224185068451</v>
      </c>
      <c r="M86" s="1371" t="s">
        <v>643</v>
      </c>
      <c r="N86" s="1371" t="s">
        <v>643</v>
      </c>
      <c r="O86" s="1370">
        <f>-F131*'EmissRates(EPA)'!$H$7*'Rates - Single'!$E$101/'Rates - Single'!$E$153</f>
        <v>122572.27685978869</v>
      </c>
      <c r="P86" s="1345"/>
      <c r="Q86" s="1345"/>
      <c r="R86" s="1345"/>
    </row>
    <row r="87" spans="2:21" ht="15" customHeight="1" x14ac:dyDescent="0.25">
      <c r="B87" s="1357">
        <v>34</v>
      </c>
      <c r="C87" s="1358">
        <v>2054</v>
      </c>
      <c r="D87" s="1370">
        <f>-D132*'VOC '!$I$38*'EmissRates(EPA)'!$E$13*'Rates - Single'!$E143/'Rates - Single'!$E$152</f>
        <v>24174.073413783011</v>
      </c>
      <c r="E87" s="1370">
        <f>-E132*'VOC '!$I$38*'EmissRates(EPA)'!$E$13*'Rates - Single'!$E143/'Rates - Single'!$E$152</f>
        <v>150863.15759870474</v>
      </c>
      <c r="F87" s="1370">
        <f>-F132*'VOC '!$I$39*'EmissRates(EPA)'!$E$14*'Rates - Single'!$E143/'Rates - Single'!$E$152</f>
        <v>66133.978568251725</v>
      </c>
      <c r="G87" s="1370">
        <f>-D132*'EmissRates(EPA)'!$C$3*'Rates - Single'!$E$98/'Rates - Single'!$E$153</f>
        <v>1814.4668687376723</v>
      </c>
      <c r="H87" s="1370">
        <f>-E132*'EmissRates(EPA)'!$C$3*'Rates - Single'!$E$98/'Rates - Single'!$E$153</f>
        <v>11323.544712159566</v>
      </c>
      <c r="I87" s="1370">
        <f>-F132*'EmissRates(EPA)'!$H$3*'Rates - Single'!$E$98/'Rates - Single'!$E$153</f>
        <v>2135.703645523467</v>
      </c>
      <c r="J87" s="1370">
        <f>-D132*'EmissRates(EPA)'!$C$6*'Rates - Single'!$E$100/'Rates - Single'!$E$153</f>
        <v>9366.7337617204703</v>
      </c>
      <c r="K87" s="1370">
        <f>-E132*'EmissRates(EPA)'!$C$6*'Rates - Single'!$E$100/'Rates - Single'!$E$153</f>
        <v>58454.982223800907</v>
      </c>
      <c r="L87" s="1370">
        <f>-F132*'EmissRates(EPA)'!$H$6*'Rates - Single'!$E$100/'Rates - Single'!$E$153</f>
        <v>82237.224185068451</v>
      </c>
      <c r="M87" s="1371" t="s">
        <v>643</v>
      </c>
      <c r="N87" s="1371" t="s">
        <v>643</v>
      </c>
      <c r="O87" s="1370">
        <f>-F132*'EmissRates(EPA)'!$H$7*'Rates - Single'!$E$101/'Rates - Single'!$E$153</f>
        <v>122572.27685978869</v>
      </c>
      <c r="P87" s="1345"/>
      <c r="Q87" s="1345"/>
      <c r="R87" s="1345"/>
    </row>
    <row r="88" spans="2:21" ht="15" customHeight="1" x14ac:dyDescent="0.25">
      <c r="B88" s="1357">
        <v>35</v>
      </c>
      <c r="C88" s="1358">
        <v>2055</v>
      </c>
      <c r="D88" s="1370">
        <f>-D133*'VOC '!$I$38*'EmissRates(EPA)'!$E$13*'Rates - Single'!$E144/'Rates - Single'!$E$152</f>
        <v>24622.386472332939</v>
      </c>
      <c r="E88" s="1370">
        <f>-E133*'VOC '!$I$38*'EmissRates(EPA)'!$E$13*'Rates - Single'!$E144/'Rates - Single'!$E$152</f>
        <v>153660.94523043308</v>
      </c>
      <c r="F88" s="1370">
        <f>-F133*'VOC '!$I$39*'EmissRates(EPA)'!$E$14*'Rates - Single'!$E144/'Rates - Single'!$E$152</f>
        <v>67360.446515896154</v>
      </c>
      <c r="G88" s="1370">
        <f>-D133*'EmissRates(EPA)'!$C$3*'Rates - Single'!$E$98/'Rates - Single'!$E$153</f>
        <v>1814.4668687376723</v>
      </c>
      <c r="H88" s="1370">
        <f>-E133*'EmissRates(EPA)'!$C$3*'Rates - Single'!$E$98/'Rates - Single'!$E$153</f>
        <v>11323.544712159566</v>
      </c>
      <c r="I88" s="1370">
        <f>-F133*'EmissRates(EPA)'!$H$3*'Rates - Single'!$E$98/'Rates - Single'!$E$153</f>
        <v>2135.703645523467</v>
      </c>
      <c r="J88" s="1370">
        <f>-D133*'EmissRates(EPA)'!$C$6*'Rates - Single'!$E$100/'Rates - Single'!$E$153</f>
        <v>9366.7337617204703</v>
      </c>
      <c r="K88" s="1370">
        <f>-E133*'EmissRates(EPA)'!$C$6*'Rates - Single'!$E$100/'Rates - Single'!$E$153</f>
        <v>58454.982223800907</v>
      </c>
      <c r="L88" s="1370">
        <f>-F133*'EmissRates(EPA)'!$H$6*'Rates - Single'!$E$100/'Rates - Single'!$E$153</f>
        <v>82237.224185068451</v>
      </c>
      <c r="M88" s="1371" t="s">
        <v>643</v>
      </c>
      <c r="N88" s="1371" t="s">
        <v>643</v>
      </c>
      <c r="O88" s="1370">
        <f>-F133*'EmissRates(EPA)'!$H$7*'Rates - Single'!$E$101/'Rates - Single'!$E$153</f>
        <v>122572.27685978869</v>
      </c>
      <c r="P88" s="1345"/>
      <c r="Q88" s="1345"/>
      <c r="R88" s="1345"/>
    </row>
    <row r="89" spans="2:21" ht="15" customHeight="1" x14ac:dyDescent="0.25">
      <c r="B89" s="1357">
        <v>36</v>
      </c>
      <c r="C89" s="1358">
        <v>2056</v>
      </c>
      <c r="D89" s="1370">
        <f>-D134*'VOC '!$I$38*'EmissRates(EPA)'!$E$13*'Rates - Single'!$E145/'Rates - Single'!$E$152</f>
        <v>25079.013586814857</v>
      </c>
      <c r="E89" s="1370">
        <f>-E134*'VOC '!$I$38*'EmissRates(EPA)'!$E$13*'Rates - Single'!$E145/'Rates - Single'!$E$152</f>
        <v>156510.61839708485</v>
      </c>
      <c r="F89" s="1370">
        <f>-F134*'VOC '!$I$39*'EmissRates(EPA)'!$E$14*'Rates - Single'!$E145/'Rates - Single'!$E$152</f>
        <v>68609.659558560772</v>
      </c>
      <c r="G89" s="1370">
        <f>-D134*'EmissRates(EPA)'!$C$3*'Rates - Single'!$E$98/'Rates - Single'!$E$153</f>
        <v>1814.4668687376723</v>
      </c>
      <c r="H89" s="1370">
        <f>-E134*'EmissRates(EPA)'!$C$3*'Rates - Single'!$E$98/'Rates - Single'!$E$153</f>
        <v>11323.544712159566</v>
      </c>
      <c r="I89" s="1370">
        <f>-F134*'EmissRates(EPA)'!$H$3*'Rates - Single'!$E$98/'Rates - Single'!$E$153</f>
        <v>2135.703645523467</v>
      </c>
      <c r="J89" s="1370">
        <f>-D134*'EmissRates(EPA)'!$C$6*'Rates - Single'!$E$100/'Rates - Single'!$E$153</f>
        <v>9366.7337617204703</v>
      </c>
      <c r="K89" s="1370">
        <f>-E134*'EmissRates(EPA)'!$C$6*'Rates - Single'!$E$100/'Rates - Single'!$E$153</f>
        <v>58454.982223800907</v>
      </c>
      <c r="L89" s="1370">
        <f>-F134*'EmissRates(EPA)'!$H$6*'Rates - Single'!$E$100/'Rates - Single'!$E$153</f>
        <v>82237.224185068451</v>
      </c>
      <c r="M89" s="1371" t="s">
        <v>643</v>
      </c>
      <c r="N89" s="1371" t="s">
        <v>643</v>
      </c>
      <c r="O89" s="1370">
        <f>-F134*'EmissRates(EPA)'!$H$7*'Rates - Single'!$E$101/'Rates - Single'!$E$153</f>
        <v>122572.27685978869</v>
      </c>
      <c r="P89" s="1345"/>
      <c r="Q89" s="1345"/>
      <c r="R89" s="1345"/>
    </row>
    <row r="90" spans="2:21" ht="15" customHeight="1" x14ac:dyDescent="0.25">
      <c r="B90" s="1357">
        <v>37</v>
      </c>
      <c r="C90" s="1358">
        <v>2057</v>
      </c>
      <c r="D90" s="1370">
        <f>-D135*'VOC '!$I$38*'EmissRates(EPA)'!$E$13*'Rates - Single'!$E146/'Rates - Single'!$E$152</f>
        <v>25544.108943069947</v>
      </c>
      <c r="E90" s="1370">
        <f>-E135*'VOC '!$I$38*'EmissRates(EPA)'!$E$13*'Rates - Single'!$E146/'Rates - Single'!$E$152</f>
        <v>159413.13932635164</v>
      </c>
      <c r="F90" s="1370">
        <f>-F135*'VOC '!$I$39*'EmissRates(EPA)'!$E$14*'Rates - Single'!$E146/'Rates - Single'!$E$152</f>
        <v>69882.039508612157</v>
      </c>
      <c r="G90" s="1370">
        <f>-D135*'EmissRates(EPA)'!$C$3*'Rates - Single'!$E$98/'Rates - Single'!$E$153</f>
        <v>1814.4668687376723</v>
      </c>
      <c r="H90" s="1370">
        <f>-E135*'EmissRates(EPA)'!$C$3*'Rates - Single'!$E$98/'Rates - Single'!$E$153</f>
        <v>11323.544712159566</v>
      </c>
      <c r="I90" s="1370">
        <f>-F135*'EmissRates(EPA)'!$H$3*'Rates - Single'!$E$98/'Rates - Single'!$E$153</f>
        <v>2135.703645523467</v>
      </c>
      <c r="J90" s="1370">
        <f>-D135*'EmissRates(EPA)'!$C$6*'Rates - Single'!$E$100/'Rates - Single'!$E$153</f>
        <v>9366.7337617204703</v>
      </c>
      <c r="K90" s="1370">
        <f>-E135*'EmissRates(EPA)'!$C$6*'Rates - Single'!$E$100/'Rates - Single'!$E$153</f>
        <v>58454.982223800907</v>
      </c>
      <c r="L90" s="1370">
        <f>-F135*'EmissRates(EPA)'!$H$6*'Rates - Single'!$E$100/'Rates - Single'!$E$153</f>
        <v>82237.224185068451</v>
      </c>
      <c r="M90" s="1371" t="s">
        <v>643</v>
      </c>
      <c r="N90" s="1371" t="s">
        <v>643</v>
      </c>
      <c r="O90" s="1370">
        <f>-F135*'EmissRates(EPA)'!$H$7*'Rates - Single'!$E$101/'Rates - Single'!$E$153</f>
        <v>122572.27685978869</v>
      </c>
      <c r="P90" s="1345"/>
      <c r="Q90" s="1345"/>
      <c r="R90" s="1345"/>
    </row>
    <row r="91" spans="2:21" ht="15" customHeight="1" x14ac:dyDescent="0.25">
      <c r="B91" s="1357">
        <v>38</v>
      </c>
      <c r="C91" s="1358">
        <v>2058</v>
      </c>
      <c r="D91" s="1370">
        <f>-D136*'VOC '!$I$38*'EmissRates(EPA)'!$E$13*'Rates - Single'!$E147/'Rates - Single'!$E$152</f>
        <v>26017.829586346841</v>
      </c>
      <c r="E91" s="1370">
        <f>-E136*'VOC '!$I$38*'EmissRates(EPA)'!$E$13*'Rates - Single'!$E147/'Rates - Single'!$E$152</f>
        <v>162369.48809063123</v>
      </c>
      <c r="F91" s="1370">
        <f>-F136*'VOC '!$I$39*'EmissRates(EPA)'!$E$14*'Rates - Single'!$E147/'Rates - Single'!$E$152</f>
        <v>71178.01600101206</v>
      </c>
      <c r="G91" s="1370">
        <f>-D136*'EmissRates(EPA)'!$C$3*'Rates - Single'!$E$98/'Rates - Single'!$E$153</f>
        <v>1814.4668687376723</v>
      </c>
      <c r="H91" s="1370">
        <f>-E136*'EmissRates(EPA)'!$C$3*'Rates - Single'!$E$98/'Rates - Single'!$E$153</f>
        <v>11323.544712159566</v>
      </c>
      <c r="I91" s="1370">
        <f>-F136*'EmissRates(EPA)'!$H$3*'Rates - Single'!$E$98/'Rates - Single'!$E$153</f>
        <v>2135.703645523467</v>
      </c>
      <c r="J91" s="1370">
        <f>-D136*'EmissRates(EPA)'!$C$6*'Rates - Single'!$E$100/'Rates - Single'!$E$153</f>
        <v>9366.7337617204703</v>
      </c>
      <c r="K91" s="1370">
        <f>-E136*'EmissRates(EPA)'!$C$6*'Rates - Single'!$E$100/'Rates - Single'!$E$153</f>
        <v>58454.982223800907</v>
      </c>
      <c r="L91" s="1370">
        <f>-F136*'EmissRates(EPA)'!$H$6*'Rates - Single'!$E$100/'Rates - Single'!$E$153</f>
        <v>82237.224185068451</v>
      </c>
      <c r="M91" s="1371" t="s">
        <v>643</v>
      </c>
      <c r="N91" s="1371" t="s">
        <v>643</v>
      </c>
      <c r="O91" s="1370">
        <f>-F136*'EmissRates(EPA)'!$H$7*'Rates - Single'!$E$101/'Rates - Single'!$E$153</f>
        <v>122572.27685978869</v>
      </c>
      <c r="P91" s="1345"/>
      <c r="Q91" s="1345"/>
      <c r="R91" s="1345"/>
    </row>
    <row r="92" spans="2:21" ht="15" customHeight="1" x14ac:dyDescent="0.25">
      <c r="B92" s="1357">
        <v>39</v>
      </c>
      <c r="C92" s="1358">
        <v>2059</v>
      </c>
      <c r="D92" s="1370">
        <f>-D137*'VOC '!$I$38*'EmissRates(EPA)'!$E$13*'Rates - Single'!$E148/'Rates - Single'!$E$152</f>
        <v>26500.335474329928</v>
      </c>
      <c r="E92" s="1370">
        <f>-E137*'VOC '!$I$38*'EmissRates(EPA)'!$E$13*'Rates - Single'!$E148/'Rates - Single'!$E$152</f>
        <v>165380.6629379614</v>
      </c>
      <c r="F92" s="1370">
        <f>-F137*'VOC '!$I$39*'EmissRates(EPA)'!$E$14*'Rates - Single'!$E148/'Rates - Single'!$E$152</f>
        <v>72498.026638389172</v>
      </c>
      <c r="G92" s="1370">
        <f>-D137*'EmissRates(EPA)'!$C$3*'Rates - Single'!$E$98/'Rates - Single'!$E$153</f>
        <v>1814.4668687376723</v>
      </c>
      <c r="H92" s="1370">
        <f>-E137*'EmissRates(EPA)'!$C$3*'Rates - Single'!$E$98/'Rates - Single'!$E$153</f>
        <v>11323.544712159566</v>
      </c>
      <c r="I92" s="1370">
        <f>-F137*'EmissRates(EPA)'!$H$3*'Rates - Single'!$E$98/'Rates - Single'!$E$153</f>
        <v>2135.703645523467</v>
      </c>
      <c r="J92" s="1370">
        <f>-D137*'EmissRates(EPA)'!$C$6*'Rates - Single'!$E$100/'Rates - Single'!$E$153</f>
        <v>9366.7337617204703</v>
      </c>
      <c r="K92" s="1370">
        <f>-E137*'EmissRates(EPA)'!$C$6*'Rates - Single'!$E$100/'Rates - Single'!$E$153</f>
        <v>58454.982223800907</v>
      </c>
      <c r="L92" s="1370">
        <f>-F137*'EmissRates(EPA)'!$H$6*'Rates - Single'!$E$100/'Rates - Single'!$E$153</f>
        <v>82237.224185068451</v>
      </c>
      <c r="M92" s="1371" t="s">
        <v>643</v>
      </c>
      <c r="N92" s="1371" t="s">
        <v>643</v>
      </c>
      <c r="O92" s="1370">
        <f>-F137*'EmissRates(EPA)'!$H$7*'Rates - Single'!$E$101/'Rates - Single'!$E$153</f>
        <v>122572.27685978869</v>
      </c>
      <c r="P92" s="1345"/>
      <c r="Q92" s="1345"/>
      <c r="R92" s="1345"/>
    </row>
    <row r="93" spans="2:21" ht="15" customHeight="1" x14ac:dyDescent="0.25">
      <c r="B93" s="1357">
        <v>40</v>
      </c>
      <c r="C93" s="1358">
        <v>2060</v>
      </c>
      <c r="D93" s="1370">
        <f>-D138*'VOC '!$I$38*'EmissRates(EPA)'!$E$13*'Rates - Single'!$E149/'Rates - Single'!$E$152</f>
        <v>26991.789531151077</v>
      </c>
      <c r="E93" s="1370">
        <f>-E138*'VOC '!$I$38*'EmissRates(EPA)'!$E$13*'Rates - Single'!$E149/'Rates - Single'!$E$152</f>
        <v>168447.68062909073</v>
      </c>
      <c r="F93" s="1370">
        <f>-F138*'VOC '!$I$39*'EmissRates(EPA)'!$E$14*'Rates - Single'!$E149/'Rates - Single'!$E$152</f>
        <v>73842.517138801035</v>
      </c>
      <c r="G93" s="1370">
        <f>-D138*'EmissRates(EPA)'!$C$3*'Rates - Single'!$E$98/'Rates - Single'!$E$153</f>
        <v>1814.4668687376723</v>
      </c>
      <c r="H93" s="1370">
        <f>-E138*'EmissRates(EPA)'!$C$3*'Rates - Single'!$E$98/'Rates - Single'!$E$153</f>
        <v>11323.544712159566</v>
      </c>
      <c r="I93" s="1370">
        <f>-F138*'EmissRates(EPA)'!$H$3*'Rates - Single'!$E$98/'Rates - Single'!$E$153</f>
        <v>2135.703645523467</v>
      </c>
      <c r="J93" s="1370">
        <f>-D138*'EmissRates(EPA)'!$C$6*'Rates - Single'!$E$100/'Rates - Single'!$E$153</f>
        <v>9366.7337617204703</v>
      </c>
      <c r="K93" s="1370">
        <f>-E138*'EmissRates(EPA)'!$C$6*'Rates - Single'!$E$100/'Rates - Single'!$E$153</f>
        <v>58454.982223800907</v>
      </c>
      <c r="L93" s="1370">
        <f>-F138*'EmissRates(EPA)'!$H$6*'Rates - Single'!$E$100/'Rates - Single'!$E$153</f>
        <v>82237.224185068451</v>
      </c>
      <c r="M93" s="1371" t="s">
        <v>643</v>
      </c>
      <c r="N93" s="1371" t="s">
        <v>643</v>
      </c>
      <c r="O93" s="1370">
        <f>-F138*'EmissRates(EPA)'!$H$7*'Rates - Single'!$E$101/'Rates - Single'!$E$153</f>
        <v>122572.27685978869</v>
      </c>
      <c r="P93" s="1345"/>
      <c r="Q93" s="1345"/>
      <c r="R93" s="1345"/>
    </row>
    <row r="94" spans="2:21" ht="15" customHeight="1" thickBot="1" x14ac:dyDescent="0.3">
      <c r="B94" s="1362">
        <v>41</v>
      </c>
      <c r="C94" s="1363">
        <v>2061</v>
      </c>
      <c r="D94" s="1372">
        <f>-D139*'VOC '!$I$38*'EmissRates(EPA)'!$E$13*'Rates - Single'!$E150/'Rates - Single'!$E$152</f>
        <v>27492.357702402962</v>
      </c>
      <c r="E94" s="1372">
        <f>-E139*'VOC '!$I$38*'EmissRates(EPA)'!$E$13*'Rates - Single'!$E150/'Rates - Single'!$E$152</f>
        <v>171571.57678080056</v>
      </c>
      <c r="F94" s="1372">
        <f>-F139*'VOC '!$I$39*'EmissRates(EPA)'!$E$14*'Rates - Single'!$E150/'Rates - Single'!$E$152</f>
        <v>75211.941486236261</v>
      </c>
      <c r="G94" s="1372">
        <f>-D139*'EmissRates(EPA)'!$C$3*'Rates - Single'!$E$98/'Rates - Single'!$E$153</f>
        <v>1814.4668687376723</v>
      </c>
      <c r="H94" s="1372">
        <f>-E139*'EmissRates(EPA)'!$C$3*'Rates - Single'!$E$98/'Rates - Single'!$E$153</f>
        <v>11323.544712159566</v>
      </c>
      <c r="I94" s="1372">
        <f>-F139*'EmissRates(EPA)'!$H$3*'Rates - Single'!$E$98/'Rates - Single'!$E$153</f>
        <v>2135.703645523467</v>
      </c>
      <c r="J94" s="1372">
        <f>-D139*'EmissRates(EPA)'!$C$6*'Rates - Single'!$E$100/'Rates - Single'!$E$153</f>
        <v>9366.7337617204703</v>
      </c>
      <c r="K94" s="1372">
        <f>-E139*'EmissRates(EPA)'!$C$6*'Rates - Single'!$E$100/'Rates - Single'!$E$153</f>
        <v>58454.982223800907</v>
      </c>
      <c r="L94" s="1372">
        <f>-F139*'EmissRates(EPA)'!$H$6*'Rates - Single'!$E$100/'Rates - Single'!$E$153</f>
        <v>82237.224185068451</v>
      </c>
      <c r="M94" s="1373" t="s">
        <v>643</v>
      </c>
      <c r="N94" s="1373" t="s">
        <v>643</v>
      </c>
      <c r="O94" s="1372">
        <f>-F139*'EmissRates(EPA)'!$H$7*'Rates - Single'!$E$101/'Rates - Single'!$E$153</f>
        <v>122572.27685978869</v>
      </c>
      <c r="P94" s="1345"/>
      <c r="Q94" s="1345"/>
      <c r="R94" s="1345"/>
    </row>
    <row r="95" spans="2:21" ht="15" customHeight="1" thickTop="1" x14ac:dyDescent="0.25">
      <c r="B95" s="1357"/>
      <c r="C95" s="1358"/>
      <c r="D95" s="1359"/>
      <c r="E95" s="1359"/>
      <c r="F95" s="1359"/>
      <c r="G95" s="1361"/>
      <c r="H95" s="1361"/>
      <c r="I95" s="1361"/>
      <c r="J95" s="1361"/>
      <c r="K95" s="1361" t="s">
        <v>475</v>
      </c>
      <c r="L95" s="1361"/>
      <c r="M95" s="1361"/>
      <c r="N95" s="1361"/>
      <c r="O95" s="1361"/>
      <c r="P95" s="1361"/>
      <c r="Q95" s="1361"/>
      <c r="R95" s="1361"/>
      <c r="S95" s="1345"/>
      <c r="T95" s="1345"/>
      <c r="U95" s="1345"/>
    </row>
    <row r="96" spans="2:21" s="1374" customFormat="1" ht="36.75" customHeight="1" x14ac:dyDescent="0.25">
      <c r="B96" s="1350" t="s">
        <v>7</v>
      </c>
      <c r="C96" s="1350" t="s">
        <v>316</v>
      </c>
      <c r="D96" s="1212" t="s">
        <v>766</v>
      </c>
      <c r="E96" s="1212"/>
      <c r="F96" s="1212"/>
    </row>
    <row r="97" spans="2:12" s="1374" customFormat="1" x14ac:dyDescent="0.25">
      <c r="B97" s="1353"/>
      <c r="C97" s="1353"/>
      <c r="D97" s="1369" t="s">
        <v>498</v>
      </c>
      <c r="E97" s="1369" t="s">
        <v>499</v>
      </c>
      <c r="F97" s="1369" t="s">
        <v>160</v>
      </c>
    </row>
    <row r="98" spans="2:12" s="1374" customFormat="1" ht="15" x14ac:dyDescent="0.25">
      <c r="B98" s="1357">
        <v>0</v>
      </c>
      <c r="C98" s="1358">
        <v>2020</v>
      </c>
      <c r="D98" s="1375" t="s">
        <v>643</v>
      </c>
      <c r="E98" s="1375" t="s">
        <v>643</v>
      </c>
      <c r="F98" s="1375" t="s">
        <v>643</v>
      </c>
      <c r="I98" s="1374" t="s">
        <v>475</v>
      </c>
    </row>
    <row r="99" spans="2:12" s="1374" customFormat="1" ht="15" x14ac:dyDescent="0.25">
      <c r="B99" s="1357">
        <v>1</v>
      </c>
      <c r="C99" s="1358">
        <v>2021</v>
      </c>
      <c r="D99" s="1375" t="s">
        <v>643</v>
      </c>
      <c r="E99" s="1375" t="s">
        <v>643</v>
      </c>
      <c r="F99" s="1375" t="s">
        <v>643</v>
      </c>
    </row>
    <row r="100" spans="2:12" s="1374" customFormat="1" ht="15" x14ac:dyDescent="0.25">
      <c r="B100" s="1357">
        <v>2</v>
      </c>
      <c r="C100" s="1358">
        <v>2022</v>
      </c>
      <c r="D100" s="1375">
        <f>'TDM Summary'!P13*AVO!$E$13*'Rates - Single'!$C$39</f>
        <v>-169463.35883680626</v>
      </c>
      <c r="E100" s="1375">
        <f>'TDM Summary'!P13*(1-AVO!$E$13)*'Rates - Single'!$C$38</f>
        <v>-1057570.1071887393</v>
      </c>
      <c r="F100" s="1375">
        <f>'TDM Summary'!Q13*'Rates - Single'!$C$40</f>
        <v>-155393.69522797625</v>
      </c>
    </row>
    <row r="101" spans="2:12" s="1374" customFormat="1" ht="15" x14ac:dyDescent="0.25">
      <c r="B101" s="1357">
        <v>3</v>
      </c>
      <c r="C101" s="1358">
        <v>2023</v>
      </c>
      <c r="D101" s="1375">
        <f>'TDM Summary'!P14*AVO!$E$13*'Rates - Single'!$C$39</f>
        <v>-178532.50244594589</v>
      </c>
      <c r="E101" s="1375">
        <f>'TDM Summary'!P14*(1-AVO!$E$13)*'Rates - Single'!$C$38</f>
        <v>-1114167.9183301099</v>
      </c>
      <c r="F101" s="1375">
        <f>'TDM Summary'!Q14*'Rates - Single'!$C$40</f>
        <v>-163655.59686994055</v>
      </c>
    </row>
    <row r="102" spans="2:12" s="1374" customFormat="1" ht="15" x14ac:dyDescent="0.25">
      <c r="B102" s="1357">
        <v>4</v>
      </c>
      <c r="C102" s="1358">
        <v>2024</v>
      </c>
      <c r="D102" s="1375">
        <f>'TDM Summary'!P15*AVO!$E$13*'Rates - Single'!$C$39</f>
        <v>-187601.64605508553</v>
      </c>
      <c r="E102" s="1375">
        <f>'TDM Summary'!P15*(1-AVO!$E$13)*'Rates - Single'!$C$38</f>
        <v>-1170765.7294714805</v>
      </c>
      <c r="F102" s="1375">
        <f>'TDM Summary'!Q15*'Rates - Single'!$C$40</f>
        <v>-171917.49851190482</v>
      </c>
      <c r="H102" s="1374" t="s">
        <v>475</v>
      </c>
    </row>
    <row r="103" spans="2:12" s="1339" customFormat="1" ht="15" x14ac:dyDescent="0.25">
      <c r="B103" s="1357">
        <v>5</v>
      </c>
      <c r="C103" s="1358">
        <v>2025</v>
      </c>
      <c r="D103" s="1375">
        <f>'TDM Summary'!P16*AVO!$E$13*'Rates - Single'!$C$39</f>
        <v>-196670.78966422507</v>
      </c>
      <c r="E103" s="1375">
        <f>'TDM Summary'!P16*(1-AVO!$E$13)*'Rates - Single'!$C$38</f>
        <v>-1227363.5406128508</v>
      </c>
      <c r="F103" s="1375">
        <f>'TDM Summary'!Q16*'Rates - Single'!$C$40</f>
        <v>-180179.40015386915</v>
      </c>
      <c r="G103" s="1347"/>
      <c r="H103" s="1347"/>
      <c r="I103" s="1347"/>
      <c r="J103" s="1347"/>
      <c r="K103" s="1347"/>
      <c r="L103" s="1347"/>
    </row>
    <row r="104" spans="2:12" s="1339" customFormat="1" ht="15" x14ac:dyDescent="0.25">
      <c r="B104" s="1357">
        <v>6</v>
      </c>
      <c r="C104" s="1358">
        <v>2026</v>
      </c>
      <c r="D104" s="1375">
        <f>'TDM Summary'!P17*AVO!$E$13*'Rates - Single'!$C$39</f>
        <v>-205739.93327336473</v>
      </c>
      <c r="E104" s="1375">
        <f>'TDM Summary'!P17*(1-AVO!$E$13)*'Rates - Single'!$C$38</f>
        <v>-1283961.3517542211</v>
      </c>
      <c r="F104" s="1375">
        <f>'TDM Summary'!Q17*'Rates - Single'!$C$40</f>
        <v>-188441.30179583342</v>
      </c>
      <c r="G104" s="1347"/>
      <c r="H104" s="1347"/>
      <c r="I104" s="1347"/>
      <c r="J104" s="1347"/>
      <c r="K104" s="1347"/>
      <c r="L104" s="1347"/>
    </row>
    <row r="105" spans="2:12" s="1339" customFormat="1" ht="15" x14ac:dyDescent="0.25">
      <c r="B105" s="1357">
        <v>7</v>
      </c>
      <c r="C105" s="1358">
        <v>2027</v>
      </c>
      <c r="D105" s="1375">
        <f>'TDM Summary'!P18*AVO!$E$13*'Rates - Single'!$C$39</f>
        <v>-214809.07688250433</v>
      </c>
      <c r="E105" s="1375">
        <f>'TDM Summary'!P18*(1-AVO!$E$13)*'Rates - Single'!$C$38</f>
        <v>-1340559.1628955919</v>
      </c>
      <c r="F105" s="1375">
        <f>'TDM Summary'!Q18*'Rates - Single'!$C$40</f>
        <v>-196703.20343779767</v>
      </c>
      <c r="G105" s="1347"/>
      <c r="H105" s="1347"/>
      <c r="I105" s="1347"/>
      <c r="J105" s="1347"/>
      <c r="K105" s="1347"/>
      <c r="L105" s="1347"/>
    </row>
    <row r="106" spans="2:12" s="1339" customFormat="1" ht="15" x14ac:dyDescent="0.25">
      <c r="B106" s="1357">
        <v>8</v>
      </c>
      <c r="C106" s="1358">
        <v>2028</v>
      </c>
      <c r="D106" s="1375">
        <f>'TDM Summary'!P19*AVO!$E$13*'Rates - Single'!$C$39</f>
        <v>-223878.220491644</v>
      </c>
      <c r="E106" s="1375">
        <f>'TDM Summary'!P19*(1-AVO!$E$13)*'Rates - Single'!$C$38</f>
        <v>-1397156.9740369625</v>
      </c>
      <c r="F106" s="1375">
        <f>'TDM Summary'!Q19*'Rates - Single'!$C$40</f>
        <v>-204965.10507976203</v>
      </c>
      <c r="G106" s="1347"/>
      <c r="H106" s="1347" t="s">
        <v>475</v>
      </c>
      <c r="I106" s="1347"/>
      <c r="J106" s="1347"/>
      <c r="K106" s="1347"/>
      <c r="L106" s="1347"/>
    </row>
    <row r="107" spans="2:12" s="1339" customFormat="1" ht="15" x14ac:dyDescent="0.25">
      <c r="B107" s="1357">
        <v>9</v>
      </c>
      <c r="C107" s="1358">
        <v>2029</v>
      </c>
      <c r="D107" s="1375">
        <f>'TDM Summary'!P20*AVO!$E$13*'Rates - Single'!$C$39</f>
        <v>-232947.36410078363</v>
      </c>
      <c r="E107" s="1375">
        <f>'TDM Summary'!P20*(1-AVO!$E$13)*'Rates - Single'!$C$38</f>
        <v>-1453754.7851783331</v>
      </c>
      <c r="F107" s="1375">
        <f>'TDM Summary'!Q20*'Rates - Single'!$C$40</f>
        <v>-213227.00672172627</v>
      </c>
      <c r="G107" s="1347"/>
      <c r="H107" s="1347"/>
      <c r="I107" s="1347"/>
      <c r="J107" s="1347"/>
      <c r="K107" s="1347"/>
      <c r="L107" s="1347"/>
    </row>
    <row r="108" spans="2:12" s="1339" customFormat="1" ht="15" x14ac:dyDescent="0.25">
      <c r="B108" s="1357">
        <v>10</v>
      </c>
      <c r="C108" s="1358">
        <v>2030</v>
      </c>
      <c r="D108" s="1375">
        <f>'TDM Summary'!P21*AVO!$E$13*'Rates - Single'!$C$39</f>
        <v>-242016.5077099232</v>
      </c>
      <c r="E108" s="1375">
        <f>'TDM Summary'!P21*(1-AVO!$E$13)*'Rates - Single'!$C$38</f>
        <v>-1510352.5963197032</v>
      </c>
      <c r="F108" s="1375">
        <f>'TDM Summary'!Q21*'Rates - Single'!$C$40</f>
        <v>-221488.90836369063</v>
      </c>
      <c r="G108" s="1347"/>
      <c r="H108" s="1347"/>
      <c r="I108" s="1347"/>
      <c r="J108" s="1347"/>
      <c r="K108" s="1347"/>
      <c r="L108" s="1347"/>
    </row>
    <row r="109" spans="2:12" s="1339" customFormat="1" ht="15" x14ac:dyDescent="0.25">
      <c r="B109" s="1357">
        <v>11</v>
      </c>
      <c r="C109" s="1358">
        <v>2031</v>
      </c>
      <c r="D109" s="1375">
        <f>'TDM Summary'!P22*AVO!$E$13*'Rates - Single'!$C$39</f>
        <v>-251085.6513190628</v>
      </c>
      <c r="E109" s="1375">
        <f>'TDM Summary'!P22*(1-AVO!$E$13)*'Rates - Single'!$C$38</f>
        <v>-1566950.4074610739</v>
      </c>
      <c r="F109" s="1375">
        <f>'TDM Summary'!Q22*'Rates - Single'!$C$40</f>
        <v>-229750.81000565487</v>
      </c>
      <c r="G109" s="1347"/>
      <c r="H109" s="1347"/>
      <c r="I109" s="1347"/>
      <c r="J109" s="1347"/>
      <c r="K109" s="1347"/>
      <c r="L109" s="1347"/>
    </row>
    <row r="110" spans="2:12" s="1339" customFormat="1" ht="15" x14ac:dyDescent="0.25">
      <c r="B110" s="1357">
        <v>12</v>
      </c>
      <c r="C110" s="1358">
        <v>2032</v>
      </c>
      <c r="D110" s="1375">
        <f>'TDM Summary'!P23*AVO!$E$13*'Rates - Single'!$C$39</f>
        <v>-260154.79492820246</v>
      </c>
      <c r="E110" s="1375">
        <f>'TDM Summary'!P23*(1-AVO!$E$13)*'Rates - Single'!$C$38</f>
        <v>-1623548.2186024443</v>
      </c>
      <c r="F110" s="1375">
        <f>'TDM Summary'!Q23*'Rates - Single'!$C$40</f>
        <v>-238012.71164761914</v>
      </c>
      <c r="G110" s="1347"/>
      <c r="H110" s="1347"/>
      <c r="I110" s="1347" t="s">
        <v>475</v>
      </c>
      <c r="J110" s="1347"/>
      <c r="K110" s="1347"/>
      <c r="L110" s="1347"/>
    </row>
    <row r="111" spans="2:12" s="1339" customFormat="1" ht="15" x14ac:dyDescent="0.25">
      <c r="B111" s="1357">
        <v>13</v>
      </c>
      <c r="C111" s="1358">
        <v>2033</v>
      </c>
      <c r="D111" s="1375">
        <f>'TDM Summary'!P24*AVO!$E$13*'Rates - Single'!$C$39</f>
        <v>-269223.93853734207</v>
      </c>
      <c r="E111" s="1375">
        <f>'TDM Summary'!P24*(1-AVO!$E$13)*'Rates - Single'!$C$38</f>
        <v>-1680146.0297438148</v>
      </c>
      <c r="F111" s="1375">
        <f>'TDM Summary'!Q24*'Rates - Single'!$C$40</f>
        <v>-246274.61328958347</v>
      </c>
      <c r="G111" s="1347"/>
      <c r="H111" s="1347"/>
      <c r="I111" s="1347"/>
      <c r="J111" s="1347"/>
      <c r="K111" s="1347"/>
      <c r="L111" s="1347"/>
    </row>
    <row r="112" spans="2:12" s="1339" customFormat="1" ht="15" x14ac:dyDescent="0.25">
      <c r="B112" s="1357">
        <v>14</v>
      </c>
      <c r="C112" s="1358">
        <v>2034</v>
      </c>
      <c r="D112" s="1375">
        <f>'TDM Summary'!P25*AVO!$E$13*'Rates - Single'!$C$39</f>
        <v>-278293.08214648173</v>
      </c>
      <c r="E112" s="1375">
        <f>'TDM Summary'!P25*(1-AVO!$E$13)*'Rates - Single'!$C$38</f>
        <v>-1736743.8408851854</v>
      </c>
      <c r="F112" s="1375">
        <f>'TDM Summary'!Q25*'Rates - Single'!$C$40</f>
        <v>-254536.51493154775</v>
      </c>
      <c r="G112" s="1347"/>
      <c r="H112" s="1347"/>
      <c r="I112" s="1347"/>
      <c r="J112" s="1347"/>
      <c r="K112" s="1347"/>
      <c r="L112" s="1347"/>
    </row>
    <row r="113" spans="2:12" s="1339" customFormat="1" ht="15" x14ac:dyDescent="0.25">
      <c r="B113" s="1357">
        <v>15</v>
      </c>
      <c r="C113" s="1358">
        <v>2035</v>
      </c>
      <c r="D113" s="1375">
        <f>'TDM Summary'!P26*AVO!$E$13*'Rates - Single'!$C$39</f>
        <v>-287362.22575562127</v>
      </c>
      <c r="E113" s="1375">
        <f>'TDM Summary'!P26*(1-AVO!$E$13)*'Rates - Single'!$C$38</f>
        <v>-1793341.6520265555</v>
      </c>
      <c r="F113" s="1375">
        <f>'TDM Summary'!Q26*'Rates - Single'!$C$40</f>
        <v>-262798.41657351202</v>
      </c>
      <c r="G113" s="1347"/>
      <c r="H113" s="1347"/>
      <c r="I113" s="1347"/>
      <c r="J113" s="1347" t="s">
        <v>475</v>
      </c>
      <c r="K113" s="1347"/>
      <c r="L113" s="1347"/>
    </row>
    <row r="114" spans="2:12" s="1339" customFormat="1" ht="15" x14ac:dyDescent="0.25">
      <c r="B114" s="1357">
        <v>16</v>
      </c>
      <c r="C114" s="1358">
        <v>2036</v>
      </c>
      <c r="D114" s="1375">
        <f>'TDM Summary'!P27*AVO!$E$13*'Rates - Single'!$C$39</f>
        <v>-296431.36936476087</v>
      </c>
      <c r="E114" s="1375">
        <f>'TDM Summary'!P27*(1-AVO!$E$13)*'Rates - Single'!$C$38</f>
        <v>-1849939.4631679261</v>
      </c>
      <c r="F114" s="1375">
        <f>'TDM Summary'!Q27*'Rates - Single'!$C$40</f>
        <v>-271060.31821547635</v>
      </c>
      <c r="G114" s="1347"/>
      <c r="H114" s="1347"/>
      <c r="I114" s="1347"/>
      <c r="J114" s="1347"/>
      <c r="K114" s="1347"/>
      <c r="L114" s="1347"/>
    </row>
    <row r="115" spans="2:12" s="1339" customFormat="1" ht="15" x14ac:dyDescent="0.25">
      <c r="B115" s="1357">
        <v>17</v>
      </c>
      <c r="C115" s="1358">
        <v>2037</v>
      </c>
      <c r="D115" s="1375">
        <f>'TDM Summary'!P28*AVO!$E$13*'Rates - Single'!$C$39</f>
        <v>-305500.51297390054</v>
      </c>
      <c r="E115" s="1375">
        <f>'TDM Summary'!P28*(1-AVO!$E$13)*'Rates - Single'!$C$38</f>
        <v>-1906537.2743092969</v>
      </c>
      <c r="F115" s="1375">
        <f>'TDM Summary'!Q28*'Rates - Single'!$C$40</f>
        <v>-279322.21985744062</v>
      </c>
      <c r="G115" s="1347"/>
      <c r="H115" s="1347"/>
      <c r="I115" s="1347"/>
      <c r="J115" s="1347"/>
      <c r="K115" s="1347"/>
      <c r="L115" s="1347"/>
    </row>
    <row r="116" spans="2:12" s="1339" customFormat="1" ht="15" x14ac:dyDescent="0.25">
      <c r="B116" s="1357">
        <v>18</v>
      </c>
      <c r="C116" s="1358">
        <v>2038</v>
      </c>
      <c r="D116" s="1375">
        <f>'TDM Summary'!P29*AVO!$E$13*'Rates - Single'!$C$39</f>
        <v>-314569.6565830402</v>
      </c>
      <c r="E116" s="1375">
        <f>'TDM Summary'!P29*(1-AVO!$E$13)*'Rates - Single'!$C$38</f>
        <v>-1963135.0854506674</v>
      </c>
      <c r="F116" s="1375">
        <f>'TDM Summary'!Q29*'Rates - Single'!$C$40</f>
        <v>-287584.12149940495</v>
      </c>
      <c r="G116" s="1347"/>
      <c r="H116" s="1347"/>
      <c r="I116" s="1347"/>
      <c r="J116" s="1347"/>
      <c r="K116" s="1347"/>
      <c r="L116" s="1347"/>
    </row>
    <row r="117" spans="2:12" s="1339" customFormat="1" ht="15" x14ac:dyDescent="0.25">
      <c r="B117" s="1357">
        <v>19</v>
      </c>
      <c r="C117" s="1358">
        <v>2039</v>
      </c>
      <c r="D117" s="1375">
        <f>'TDM Summary'!P30*AVO!$E$13*'Rates - Single'!$C$39</f>
        <v>-323638.8001921798</v>
      </c>
      <c r="E117" s="1375">
        <f>'TDM Summary'!P30*(1-AVO!$E$13)*'Rates - Single'!$C$38</f>
        <v>-2019732.896592038</v>
      </c>
      <c r="F117" s="1375">
        <f>'TDM Summary'!Q30*'Rates - Single'!$C$40</f>
        <v>-295846.02314136922</v>
      </c>
      <c r="G117" s="1347"/>
      <c r="H117" s="1347"/>
      <c r="I117" s="1347"/>
      <c r="J117" s="1347"/>
      <c r="K117" s="1347"/>
      <c r="L117" s="1347"/>
    </row>
    <row r="118" spans="2:12" s="1339" customFormat="1" ht="15" x14ac:dyDescent="0.25">
      <c r="B118" s="1357">
        <v>20</v>
      </c>
      <c r="C118" s="1358">
        <v>2040</v>
      </c>
      <c r="D118" s="1375">
        <f>'TDM Summary'!P31*AVO!$E$13*'Rates - Single'!$C$39</f>
        <v>-332707.94380131928</v>
      </c>
      <c r="E118" s="1375">
        <f>'TDM Summary'!P31*(1-AVO!$E$13)*'Rates - Single'!$C$38</f>
        <v>-2076330.7077334074</v>
      </c>
      <c r="F118" s="1375">
        <f>'TDM Summary'!Q31*'Rates - Single'!$C$40</f>
        <v>-304107.92478333338</v>
      </c>
      <c r="G118" s="1347"/>
      <c r="H118" s="1347"/>
      <c r="I118" s="1347"/>
      <c r="J118" s="1347"/>
      <c r="K118" s="1347"/>
      <c r="L118" s="1347"/>
    </row>
    <row r="119" spans="2:12" s="1339" customFormat="1" ht="15" x14ac:dyDescent="0.25">
      <c r="B119" s="1357">
        <v>21</v>
      </c>
      <c r="C119" s="1358">
        <v>2041</v>
      </c>
      <c r="D119" s="1375">
        <f>'TDM Summary'!P32*AVO!$E$13*'Rates - Single'!$C$39</f>
        <v>-332707.94380131928</v>
      </c>
      <c r="E119" s="1375">
        <f>'TDM Summary'!P32*(1-AVO!$E$13)*'Rates - Single'!$C$38</f>
        <v>-2076330.7077334074</v>
      </c>
      <c r="F119" s="1375">
        <f>'TDM Summary'!Q32*'Rates - Single'!$C$40</f>
        <v>-304107.92478333338</v>
      </c>
      <c r="G119" s="1347"/>
      <c r="H119" s="1347"/>
      <c r="I119" s="1347"/>
      <c r="J119" s="1347"/>
      <c r="K119" s="1347"/>
      <c r="L119" s="1347"/>
    </row>
    <row r="120" spans="2:12" s="1339" customFormat="1" ht="15" x14ac:dyDescent="0.25">
      <c r="B120" s="1357">
        <v>22</v>
      </c>
      <c r="C120" s="1358">
        <v>2042</v>
      </c>
      <c r="D120" s="1375">
        <f>'TDM Summary'!P33*AVO!$E$13*'Rates - Single'!$C$39</f>
        <v>-332707.94380131928</v>
      </c>
      <c r="E120" s="1375">
        <f>'TDM Summary'!P33*(1-AVO!$E$13)*'Rates - Single'!$C$38</f>
        <v>-2076330.7077334074</v>
      </c>
      <c r="F120" s="1375">
        <f>'TDM Summary'!Q33*'Rates - Single'!$C$40</f>
        <v>-304107.92478333338</v>
      </c>
      <c r="G120" s="1347"/>
      <c r="H120" s="1347"/>
      <c r="I120" s="1347"/>
      <c r="J120" s="1347"/>
      <c r="K120" s="1347"/>
      <c r="L120" s="1347"/>
    </row>
    <row r="121" spans="2:12" s="1339" customFormat="1" ht="15" x14ac:dyDescent="0.25">
      <c r="B121" s="1357">
        <v>23</v>
      </c>
      <c r="C121" s="1358">
        <v>2043</v>
      </c>
      <c r="D121" s="1375">
        <f>'TDM Summary'!P34*AVO!$E$13*'Rates - Single'!$C$39</f>
        <v>-332707.94380131928</v>
      </c>
      <c r="E121" s="1375">
        <f>'TDM Summary'!P34*(1-AVO!$E$13)*'Rates - Single'!$C$38</f>
        <v>-2076330.7077334074</v>
      </c>
      <c r="F121" s="1375">
        <f>'TDM Summary'!Q34*'Rates - Single'!$C$40</f>
        <v>-304107.92478333338</v>
      </c>
      <c r="G121" s="1347"/>
      <c r="H121" s="1347"/>
      <c r="I121" s="1347"/>
      <c r="J121" s="1347"/>
      <c r="K121" s="1347"/>
      <c r="L121" s="1347"/>
    </row>
    <row r="122" spans="2:12" s="1339" customFormat="1" ht="15" x14ac:dyDescent="0.25">
      <c r="B122" s="1357">
        <v>24</v>
      </c>
      <c r="C122" s="1358">
        <v>2044</v>
      </c>
      <c r="D122" s="1375">
        <f>'TDM Summary'!P35*AVO!$E$13*'Rates - Single'!$C$39</f>
        <v>-332707.94380131928</v>
      </c>
      <c r="E122" s="1375">
        <f>'TDM Summary'!P35*(1-AVO!$E$13)*'Rates - Single'!$C$38</f>
        <v>-2076330.7077334074</v>
      </c>
      <c r="F122" s="1375">
        <f>'TDM Summary'!Q35*'Rates - Single'!$C$40</f>
        <v>-304107.92478333338</v>
      </c>
      <c r="G122" s="1347"/>
      <c r="H122" s="1347"/>
      <c r="I122" s="1347"/>
      <c r="J122" s="1347"/>
      <c r="K122" s="1347"/>
      <c r="L122" s="1347"/>
    </row>
    <row r="123" spans="2:12" s="1339" customFormat="1" ht="15" x14ac:dyDescent="0.25">
      <c r="B123" s="1357">
        <v>25</v>
      </c>
      <c r="C123" s="1358">
        <v>2045</v>
      </c>
      <c r="D123" s="1375">
        <f>'TDM Summary'!P36*AVO!$E$13*'Rates - Single'!$C$39</f>
        <v>-332707.94380131928</v>
      </c>
      <c r="E123" s="1375">
        <f>'TDM Summary'!P36*(1-AVO!$E$13)*'Rates - Single'!$C$38</f>
        <v>-2076330.7077334074</v>
      </c>
      <c r="F123" s="1375">
        <f>'TDM Summary'!Q36*'Rates - Single'!$C$40</f>
        <v>-304107.92478333338</v>
      </c>
      <c r="G123" s="1347"/>
      <c r="H123" s="1347"/>
      <c r="I123" s="1347"/>
      <c r="J123" s="1347"/>
      <c r="K123" s="1347"/>
      <c r="L123" s="1347"/>
    </row>
    <row r="124" spans="2:12" s="1339" customFormat="1" ht="15" x14ac:dyDescent="0.25">
      <c r="B124" s="1357">
        <v>26</v>
      </c>
      <c r="C124" s="1358">
        <v>2046</v>
      </c>
      <c r="D124" s="1375">
        <f>'TDM Summary'!P37*AVO!$E$13*'Rates - Single'!$C$39</f>
        <v>-332707.94380131928</v>
      </c>
      <c r="E124" s="1375">
        <f>'TDM Summary'!P37*(1-AVO!$E$13)*'Rates - Single'!$C$38</f>
        <v>-2076330.7077334074</v>
      </c>
      <c r="F124" s="1375">
        <f>'TDM Summary'!Q37*'Rates - Single'!$C$40</f>
        <v>-304107.92478333338</v>
      </c>
      <c r="G124" s="1347"/>
      <c r="H124" s="1347"/>
      <c r="I124" s="1347"/>
      <c r="J124" s="1347"/>
      <c r="K124" s="1347"/>
      <c r="L124" s="1347"/>
    </row>
    <row r="125" spans="2:12" s="1339" customFormat="1" ht="15" x14ac:dyDescent="0.25">
      <c r="B125" s="1357">
        <v>27</v>
      </c>
      <c r="C125" s="1358">
        <v>2047</v>
      </c>
      <c r="D125" s="1375">
        <f>'TDM Summary'!P38*AVO!$E$13*'Rates - Single'!$C$39</f>
        <v>-332707.94380131928</v>
      </c>
      <c r="E125" s="1375">
        <f>'TDM Summary'!P38*(1-AVO!$E$13)*'Rates - Single'!$C$38</f>
        <v>-2076330.7077334074</v>
      </c>
      <c r="F125" s="1375">
        <f>'TDM Summary'!Q38*'Rates - Single'!$C$40</f>
        <v>-304107.92478333338</v>
      </c>
      <c r="G125" s="1347"/>
      <c r="H125" s="1347"/>
      <c r="I125" s="1347"/>
      <c r="J125" s="1347"/>
      <c r="K125" s="1347"/>
      <c r="L125" s="1347"/>
    </row>
    <row r="126" spans="2:12" s="1339" customFormat="1" ht="15" x14ac:dyDescent="0.25">
      <c r="B126" s="1357">
        <v>28</v>
      </c>
      <c r="C126" s="1358">
        <v>2048</v>
      </c>
      <c r="D126" s="1375">
        <f>'TDM Summary'!P39*AVO!$E$13*'Rates - Single'!$C$39</f>
        <v>-332707.94380131928</v>
      </c>
      <c r="E126" s="1375">
        <f>'TDM Summary'!P39*(1-AVO!$E$13)*'Rates - Single'!$C$38</f>
        <v>-2076330.7077334074</v>
      </c>
      <c r="F126" s="1375">
        <f>'TDM Summary'!Q39*'Rates - Single'!$C$40</f>
        <v>-304107.92478333338</v>
      </c>
      <c r="G126" s="1347"/>
      <c r="H126" s="1347"/>
      <c r="I126" s="1347"/>
      <c r="J126" s="1347"/>
      <c r="K126" s="1347"/>
      <c r="L126" s="1347"/>
    </row>
    <row r="127" spans="2:12" s="1339" customFormat="1" ht="15" x14ac:dyDescent="0.25">
      <c r="B127" s="1357">
        <v>29</v>
      </c>
      <c r="C127" s="1358">
        <v>2049</v>
      </c>
      <c r="D127" s="1375">
        <f>'TDM Summary'!P40*AVO!$E$13*'Rates - Single'!$C$39</f>
        <v>-332707.94380131928</v>
      </c>
      <c r="E127" s="1375">
        <f>'TDM Summary'!P40*(1-AVO!$E$13)*'Rates - Single'!$C$38</f>
        <v>-2076330.7077334074</v>
      </c>
      <c r="F127" s="1375">
        <f>'TDM Summary'!Q40*'Rates - Single'!$C$40</f>
        <v>-304107.92478333338</v>
      </c>
      <c r="G127" s="1347"/>
      <c r="H127" s="1347"/>
      <c r="I127" s="1347"/>
      <c r="J127" s="1347"/>
      <c r="K127" s="1347"/>
      <c r="L127" s="1347"/>
    </row>
    <row r="128" spans="2:12" s="1339" customFormat="1" ht="15" x14ac:dyDescent="0.25">
      <c r="B128" s="1357">
        <v>30</v>
      </c>
      <c r="C128" s="1358">
        <v>2050</v>
      </c>
      <c r="D128" s="1375">
        <f>'TDM Summary'!P41*AVO!$E$13*'Rates - Single'!$C$39</f>
        <v>-332707.94380131928</v>
      </c>
      <c r="E128" s="1375">
        <f>'TDM Summary'!P41*(1-AVO!$E$13)*'Rates - Single'!$C$38</f>
        <v>-2076330.7077334074</v>
      </c>
      <c r="F128" s="1375">
        <f>'TDM Summary'!Q41*'Rates - Single'!$C$40</f>
        <v>-304107.92478333338</v>
      </c>
      <c r="G128" s="1347"/>
      <c r="H128" s="1347"/>
      <c r="I128" s="1347"/>
      <c r="J128" s="1347"/>
      <c r="K128" s="1347"/>
      <c r="L128" s="1347"/>
    </row>
    <row r="129" spans="1:18" ht="15" x14ac:dyDescent="0.25">
      <c r="B129" s="1357">
        <v>31</v>
      </c>
      <c r="C129" s="1358">
        <v>2051</v>
      </c>
      <c r="D129" s="1375">
        <f>'TDM Summary'!P42*AVO!$E$13*'Rates - Single'!$C$39</f>
        <v>-332707.94380131928</v>
      </c>
      <c r="E129" s="1375">
        <f>'TDM Summary'!P42*(1-AVO!$E$13)*'Rates - Single'!$C$38</f>
        <v>-2076330.7077334074</v>
      </c>
      <c r="F129" s="1375">
        <f>'TDM Summary'!Q42*'Rates - Single'!$C$40</f>
        <v>-304107.92478333338</v>
      </c>
      <c r="M129" s="1339"/>
      <c r="N129" s="1339"/>
      <c r="O129" s="1339"/>
      <c r="P129" s="1339"/>
      <c r="Q129" s="1339"/>
      <c r="R129" s="1339"/>
    </row>
    <row r="130" spans="1:18" ht="15" x14ac:dyDescent="0.25">
      <c r="B130" s="1357">
        <v>32</v>
      </c>
      <c r="C130" s="1358">
        <v>2052</v>
      </c>
      <c r="D130" s="1375">
        <f>'TDM Summary'!P43*AVO!$E$13*'Rates - Single'!$C$39</f>
        <v>-332707.94380131928</v>
      </c>
      <c r="E130" s="1375">
        <f>'TDM Summary'!P43*(1-AVO!$E$13)*'Rates - Single'!$C$38</f>
        <v>-2076330.7077334074</v>
      </c>
      <c r="F130" s="1375">
        <f>'TDM Summary'!Q43*'Rates - Single'!$C$40</f>
        <v>-304107.92478333338</v>
      </c>
      <c r="M130" s="1339"/>
      <c r="N130" s="1339"/>
      <c r="O130" s="1339"/>
      <c r="P130" s="1339"/>
      <c r="Q130" s="1339"/>
      <c r="R130" s="1339"/>
    </row>
    <row r="131" spans="1:18" ht="15" x14ac:dyDescent="0.25">
      <c r="B131" s="1357">
        <v>33</v>
      </c>
      <c r="C131" s="1358">
        <v>2053</v>
      </c>
      <c r="D131" s="1375">
        <f>'TDM Summary'!P44*AVO!$E$13*'Rates - Single'!$C$39</f>
        <v>-332707.94380131928</v>
      </c>
      <c r="E131" s="1375">
        <f>'TDM Summary'!P44*(1-AVO!$E$13)*'Rates - Single'!$C$38</f>
        <v>-2076330.7077334074</v>
      </c>
      <c r="F131" s="1375">
        <f>'TDM Summary'!Q44*'Rates - Single'!$C$40</f>
        <v>-304107.92478333338</v>
      </c>
      <c r="M131" s="1339"/>
      <c r="N131" s="1339"/>
      <c r="O131" s="1339"/>
      <c r="P131" s="1339"/>
      <c r="Q131" s="1339"/>
      <c r="R131" s="1339"/>
    </row>
    <row r="132" spans="1:18" ht="15" x14ac:dyDescent="0.25">
      <c r="B132" s="1357">
        <v>34</v>
      </c>
      <c r="C132" s="1358">
        <v>2054</v>
      </c>
      <c r="D132" s="1375">
        <f>'TDM Summary'!P45*AVO!$E$13*'Rates - Single'!$C$39</f>
        <v>-332707.94380131928</v>
      </c>
      <c r="E132" s="1375">
        <f>'TDM Summary'!P45*(1-AVO!$E$13)*'Rates - Single'!$C$38</f>
        <v>-2076330.7077334074</v>
      </c>
      <c r="F132" s="1375">
        <f>'TDM Summary'!Q45*'Rates - Single'!$C$40</f>
        <v>-304107.92478333338</v>
      </c>
      <c r="M132" s="1339"/>
      <c r="N132" s="1339"/>
      <c r="O132" s="1339"/>
      <c r="P132" s="1339"/>
      <c r="Q132" s="1339"/>
      <c r="R132" s="1339"/>
    </row>
    <row r="133" spans="1:18" ht="15" x14ac:dyDescent="0.25">
      <c r="B133" s="1357">
        <v>35</v>
      </c>
      <c r="C133" s="1358">
        <v>2055</v>
      </c>
      <c r="D133" s="1375">
        <f>'TDM Summary'!P46*AVO!$E$13*'Rates - Single'!$C$39</f>
        <v>-332707.94380131928</v>
      </c>
      <c r="E133" s="1375">
        <f>'TDM Summary'!P46*(1-AVO!$E$13)*'Rates - Single'!$C$38</f>
        <v>-2076330.7077334074</v>
      </c>
      <c r="F133" s="1375">
        <f>'TDM Summary'!Q46*'Rates - Single'!$C$40</f>
        <v>-304107.92478333338</v>
      </c>
      <c r="M133" s="1339"/>
      <c r="N133" s="1339"/>
      <c r="O133" s="1339"/>
      <c r="P133" s="1339"/>
      <c r="Q133" s="1339"/>
      <c r="R133" s="1339"/>
    </row>
    <row r="134" spans="1:18" ht="15" x14ac:dyDescent="0.25">
      <c r="B134" s="1357">
        <v>36</v>
      </c>
      <c r="C134" s="1358">
        <v>2056</v>
      </c>
      <c r="D134" s="1375">
        <f>'TDM Summary'!P47*AVO!$E$13*'Rates - Single'!$C$39</f>
        <v>-332707.94380131928</v>
      </c>
      <c r="E134" s="1375">
        <f>'TDM Summary'!P47*(1-AVO!$E$13)*'Rates - Single'!$C$38</f>
        <v>-2076330.7077334074</v>
      </c>
      <c r="F134" s="1375">
        <f>'TDM Summary'!Q47*'Rates - Single'!$C$40</f>
        <v>-304107.92478333338</v>
      </c>
      <c r="M134" s="1339"/>
      <c r="N134" s="1339"/>
      <c r="O134" s="1339"/>
      <c r="P134" s="1339"/>
      <c r="Q134" s="1339"/>
      <c r="R134" s="1339"/>
    </row>
    <row r="135" spans="1:18" ht="15" x14ac:dyDescent="0.25">
      <c r="B135" s="1357">
        <v>37</v>
      </c>
      <c r="C135" s="1358">
        <v>2057</v>
      </c>
      <c r="D135" s="1375">
        <f>'TDM Summary'!P48*AVO!$E$13*'Rates - Single'!$C$39</f>
        <v>-332707.94380131928</v>
      </c>
      <c r="E135" s="1375">
        <f>'TDM Summary'!P48*(1-AVO!$E$13)*'Rates - Single'!$C$38</f>
        <v>-2076330.7077334074</v>
      </c>
      <c r="F135" s="1375">
        <f>'TDM Summary'!Q48*'Rates - Single'!$C$40</f>
        <v>-304107.92478333338</v>
      </c>
      <c r="M135" s="1339"/>
      <c r="N135" s="1339"/>
      <c r="O135" s="1339"/>
      <c r="P135" s="1339"/>
      <c r="Q135" s="1339"/>
      <c r="R135" s="1339"/>
    </row>
    <row r="136" spans="1:18" ht="15" x14ac:dyDescent="0.25">
      <c r="B136" s="1357">
        <v>38</v>
      </c>
      <c r="C136" s="1358">
        <v>2058</v>
      </c>
      <c r="D136" s="1375">
        <f>'TDM Summary'!P49*AVO!$E$13*'Rates - Single'!$C$39</f>
        <v>-332707.94380131928</v>
      </c>
      <c r="E136" s="1375">
        <f>'TDM Summary'!P49*(1-AVO!$E$13)*'Rates - Single'!$C$38</f>
        <v>-2076330.7077334074</v>
      </c>
      <c r="F136" s="1375">
        <f>'TDM Summary'!Q49*'Rates - Single'!$C$40</f>
        <v>-304107.92478333338</v>
      </c>
      <c r="M136" s="1339"/>
      <c r="N136" s="1339"/>
      <c r="O136" s="1339"/>
      <c r="P136" s="1339"/>
      <c r="Q136" s="1339"/>
      <c r="R136" s="1339"/>
    </row>
    <row r="137" spans="1:18" ht="15" x14ac:dyDescent="0.25">
      <c r="B137" s="1357">
        <v>39</v>
      </c>
      <c r="C137" s="1358">
        <v>2059</v>
      </c>
      <c r="D137" s="1375">
        <f>'TDM Summary'!P50*AVO!$E$13*'Rates - Single'!$C$39</f>
        <v>-332707.94380131928</v>
      </c>
      <c r="E137" s="1375">
        <f>'TDM Summary'!P50*(1-AVO!$E$13)*'Rates - Single'!$C$38</f>
        <v>-2076330.7077334074</v>
      </c>
      <c r="F137" s="1375">
        <f>'TDM Summary'!Q50*'Rates - Single'!$C$40</f>
        <v>-304107.92478333338</v>
      </c>
      <c r="M137" s="1339"/>
      <c r="N137" s="1339"/>
      <c r="O137" s="1339"/>
      <c r="P137" s="1339"/>
      <c r="Q137" s="1339"/>
      <c r="R137" s="1339"/>
    </row>
    <row r="138" spans="1:18" ht="15" x14ac:dyDescent="0.25">
      <c r="B138" s="1357">
        <v>40</v>
      </c>
      <c r="C138" s="1358">
        <v>2060</v>
      </c>
      <c r="D138" s="1375">
        <f>'TDM Summary'!P51*AVO!$E$13*'Rates - Single'!$C$39</f>
        <v>-332707.94380131928</v>
      </c>
      <c r="E138" s="1375">
        <f>'TDM Summary'!P51*(1-AVO!$E$13)*'Rates - Single'!$C$38</f>
        <v>-2076330.7077334074</v>
      </c>
      <c r="F138" s="1375">
        <f>'TDM Summary'!Q51*'Rates - Single'!$C$40</f>
        <v>-304107.92478333338</v>
      </c>
      <c r="M138" s="1339"/>
      <c r="N138" s="1339"/>
      <c r="O138" s="1339"/>
      <c r="P138" s="1339"/>
      <c r="Q138" s="1339"/>
      <c r="R138" s="1339"/>
    </row>
    <row r="139" spans="1:18" ht="15.75" thickBot="1" x14ac:dyDescent="0.3">
      <c r="B139" s="1362">
        <v>41</v>
      </c>
      <c r="C139" s="1363">
        <v>2061</v>
      </c>
      <c r="D139" s="1376">
        <f>'TDM Summary'!P52*AVO!$E$13*'Rates - Single'!$C$39</f>
        <v>-332707.94380131928</v>
      </c>
      <c r="E139" s="1376">
        <f>'TDM Summary'!P52*(1-AVO!$E$13)*'Rates - Single'!$C$38</f>
        <v>-2076330.7077334074</v>
      </c>
      <c r="F139" s="1376">
        <f>'TDM Summary'!Q52*'Rates - Single'!$C$40</f>
        <v>-304107.92478333338</v>
      </c>
      <c r="M139" s="1339"/>
      <c r="N139" s="1339"/>
      <c r="O139" s="1339"/>
      <c r="P139" s="1339"/>
      <c r="Q139" s="1339"/>
      <c r="R139" s="1339"/>
    </row>
    <row r="140" spans="1:18" ht="15" customHeight="1" thickTop="1" x14ac:dyDescent="0.25">
      <c r="B140" s="1366"/>
      <c r="C140" s="1366"/>
      <c r="D140" s="1366"/>
      <c r="E140" s="1366"/>
      <c r="F140" s="1366"/>
      <c r="G140" s="1366"/>
      <c r="H140" s="1366"/>
      <c r="I140" s="1366"/>
    </row>
    <row r="141" spans="1:18" ht="15" customHeight="1" x14ac:dyDescent="0.25">
      <c r="B141" s="1367"/>
      <c r="C141" s="1367"/>
      <c r="D141" s="1367"/>
      <c r="E141" s="1367"/>
      <c r="F141" s="1367"/>
      <c r="G141" s="1367"/>
      <c r="H141" s="1367"/>
      <c r="I141" s="1367"/>
    </row>
    <row r="142" spans="1:18" x14ac:dyDescent="0.25">
      <c r="A142" s="1339" t="s">
        <v>475</v>
      </c>
      <c r="D142" s="1339"/>
      <c r="E142" s="1339"/>
      <c r="F142" s="1339"/>
      <c r="G142" s="1339"/>
      <c r="H142" s="1339"/>
      <c r="I142" s="1339"/>
      <c r="J142" s="1339"/>
      <c r="K142" s="1339"/>
      <c r="L142" s="1339"/>
      <c r="M142" s="1339"/>
      <c r="N142" s="1339"/>
      <c r="O142" s="1339"/>
      <c r="P142" s="1339"/>
      <c r="Q142" s="1339"/>
      <c r="R142" s="1339"/>
    </row>
    <row r="143" spans="1:18" ht="12.75" customHeight="1" x14ac:dyDescent="0.25">
      <c r="D143" s="1339"/>
      <c r="E143" s="1339"/>
      <c r="F143" s="1339"/>
      <c r="G143" s="1339"/>
      <c r="H143" s="1339"/>
      <c r="I143" s="1339"/>
      <c r="J143" s="1339"/>
      <c r="K143" s="1339"/>
      <c r="L143" s="1339"/>
      <c r="M143" s="1339"/>
      <c r="N143" s="1339"/>
      <c r="O143" s="1339"/>
      <c r="P143" s="1339"/>
      <c r="Q143" s="1339"/>
      <c r="R143" s="1339"/>
    </row>
    <row r="144" spans="1:18" x14ac:dyDescent="0.25">
      <c r="D144" s="1339"/>
      <c r="E144" s="1339"/>
      <c r="F144" s="1339"/>
      <c r="G144" s="1339"/>
      <c r="H144" s="1339"/>
      <c r="I144" s="1339"/>
      <c r="J144" s="1339"/>
      <c r="K144" s="1339"/>
      <c r="L144" s="1339"/>
      <c r="M144" s="1339"/>
      <c r="N144" s="1339"/>
      <c r="O144" s="1339"/>
      <c r="P144" s="1339"/>
      <c r="Q144" s="1339"/>
      <c r="R144" s="1339"/>
    </row>
    <row r="145" s="1339" customFormat="1" x14ac:dyDescent="0.25"/>
    <row r="146" s="1339" customFormat="1" x14ac:dyDescent="0.25"/>
    <row r="147" s="1339" customFormat="1" x14ac:dyDescent="0.25"/>
    <row r="148" s="1339" customFormat="1" x14ac:dyDescent="0.25"/>
    <row r="149" s="1339" customFormat="1" x14ac:dyDescent="0.25"/>
    <row r="150" s="1339" customFormat="1" x14ac:dyDescent="0.25"/>
    <row r="151" s="1339" customFormat="1" x14ac:dyDescent="0.25"/>
    <row r="152" s="1339" customFormat="1" x14ac:dyDescent="0.25"/>
    <row r="153" s="1339" customFormat="1" x14ac:dyDescent="0.25"/>
    <row r="154" s="1339" customFormat="1" x14ac:dyDescent="0.25"/>
    <row r="155" s="1339" customFormat="1" x14ac:dyDescent="0.25"/>
    <row r="156" s="1339" customFormat="1" x14ac:dyDescent="0.25"/>
    <row r="157" s="1339" customFormat="1" x14ac:dyDescent="0.25"/>
    <row r="158" s="1339" customFormat="1" x14ac:dyDescent="0.25"/>
    <row r="159" s="1339" customFormat="1" x14ac:dyDescent="0.25"/>
    <row r="160" s="1339" customFormat="1" x14ac:dyDescent="0.25"/>
    <row r="161" s="1339" customFormat="1" x14ac:dyDescent="0.25"/>
    <row r="162" s="1339" customFormat="1" x14ac:dyDescent="0.25"/>
    <row r="163" s="1339" customFormat="1" x14ac:dyDescent="0.25"/>
    <row r="164" s="1339" customFormat="1" x14ac:dyDescent="0.25"/>
    <row r="165" s="1339" customFormat="1" x14ac:dyDescent="0.25"/>
    <row r="166" s="1339" customFormat="1" x14ac:dyDescent="0.25"/>
    <row r="167" s="1339" customFormat="1" x14ac:dyDescent="0.25"/>
    <row r="168" s="1339" customFormat="1" x14ac:dyDescent="0.25"/>
    <row r="169" s="1339" customFormat="1" x14ac:dyDescent="0.25"/>
    <row r="170" s="1339" customFormat="1" x14ac:dyDescent="0.25"/>
    <row r="171" s="1339" customFormat="1" x14ac:dyDescent="0.25"/>
    <row r="172" s="1339" customFormat="1" x14ac:dyDescent="0.25"/>
    <row r="173" s="1339" customFormat="1" x14ac:dyDescent="0.25"/>
    <row r="174" s="1339" customFormat="1" x14ac:dyDescent="0.25"/>
    <row r="175" s="1339" customFormat="1" x14ac:dyDescent="0.25"/>
    <row r="176" s="1339" customFormat="1" x14ac:dyDescent="0.25"/>
    <row r="177" s="1339" customFormat="1" x14ac:dyDescent="0.25"/>
    <row r="178" s="1339" customFormat="1" x14ac:dyDescent="0.25"/>
    <row r="179" s="1339" customFormat="1" x14ac:dyDescent="0.25"/>
    <row r="180" s="1339" customFormat="1" x14ac:dyDescent="0.25"/>
    <row r="181" s="1339" customFormat="1" x14ac:dyDescent="0.25"/>
    <row r="182" s="1339" customFormat="1" x14ac:dyDescent="0.25"/>
    <row r="183" s="1339" customFormat="1" x14ac:dyDescent="0.25"/>
    <row r="184" s="1339" customFormat="1" x14ac:dyDescent="0.25"/>
    <row r="185" s="1339" customFormat="1" x14ac:dyDescent="0.25"/>
    <row r="186" s="1339" customFormat="1" x14ac:dyDescent="0.25"/>
  </sheetData>
  <mergeCells count="16">
    <mergeCell ref="J51:L51"/>
    <mergeCell ref="M51:O51"/>
    <mergeCell ref="B140:I140"/>
    <mergeCell ref="B4:I4"/>
    <mergeCell ref="B96:B97"/>
    <mergeCell ref="C96:C97"/>
    <mergeCell ref="B5:B6"/>
    <mergeCell ref="C5:C6"/>
    <mergeCell ref="B49:I49"/>
    <mergeCell ref="D5:G5"/>
    <mergeCell ref="H5:H6"/>
    <mergeCell ref="D96:F96"/>
    <mergeCell ref="G51:I51"/>
    <mergeCell ref="B51:B52"/>
    <mergeCell ref="C51:C52"/>
    <mergeCell ref="D51:F5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About the Spreadsheet Tabs</vt:lpstr>
      <vt:lpstr>Benefit-Cost Analysis @3%</vt:lpstr>
      <vt:lpstr>Benefit-Cost Analysis @7%</vt:lpstr>
      <vt:lpstr>BenefitSummary</vt:lpstr>
      <vt:lpstr>Costs Summary </vt:lpstr>
      <vt:lpstr>O&amp;M</vt:lpstr>
      <vt:lpstr>TravelTimeSavings</vt:lpstr>
      <vt:lpstr>VOC</vt:lpstr>
      <vt:lpstr>Emissions</vt:lpstr>
      <vt:lpstr>HealthBenefits</vt:lpstr>
      <vt:lpstr>ModeShift</vt:lpstr>
      <vt:lpstr>TrackRelocation</vt:lpstr>
      <vt:lpstr>JobCreation</vt:lpstr>
      <vt:lpstr>Rates - Single</vt:lpstr>
      <vt:lpstr>KABCO-AIS Conv Matrix</vt:lpstr>
      <vt:lpstr>VOC </vt:lpstr>
      <vt:lpstr>WalkMode</vt:lpstr>
      <vt:lpstr>EmissRates(EPA)</vt:lpstr>
      <vt:lpstr>AVO</vt:lpstr>
      <vt:lpstr>EmissRates MOVES2014</vt:lpstr>
      <vt:lpstr>Pavement,NoiseMarginalCost</vt:lpstr>
      <vt:lpstr>Rail Relocation</vt:lpstr>
      <vt:lpstr>CPI Factors</vt:lpstr>
      <vt:lpstr>Volumes (Project Site)</vt:lpstr>
      <vt:lpstr>TDM Output</vt:lpstr>
      <vt:lpstr>TDM Summary</vt:lpstr>
      <vt:lpstr>TravelTimeCost-NotUsed</vt:lpstr>
      <vt:lpstr>'VOC '!Print_Area</vt:lpstr>
    </vt:vector>
  </TitlesOfParts>
  <Company>Cambridge Systematics,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Victoria-Jamarillo</dc:creator>
  <cp:lastModifiedBy>CSadmin</cp:lastModifiedBy>
  <cp:lastPrinted>2010-08-02T21:25:58Z</cp:lastPrinted>
  <dcterms:created xsi:type="dcterms:W3CDTF">2010-07-26T20:49:36Z</dcterms:created>
  <dcterms:modified xsi:type="dcterms:W3CDTF">2016-12-09T03:18:08Z</dcterms:modified>
</cp:coreProperties>
</file>